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2025\GESTIÓN DE PRESUPUESTO Y PLANIFICACIÓN\POA-2025\POA-MENSUAL\"/>
    </mc:Choice>
  </mc:AlternateContent>
  <bookViews>
    <workbookView xWindow="-120" yWindow="-120" windowWidth="20736" windowHeight="11040" tabRatio="1000" activeTab="3"/>
  </bookViews>
  <sheets>
    <sheet name="RESU" sheetId="11" r:id="rId1"/>
    <sheet name="POA2025" sheetId="4" r:id="rId2"/>
    <sheet name="PRES-INGRESOS" sheetId="48" r:id="rId3"/>
    <sheet name="PRES-GASTO" sheetId="47" r:id="rId4"/>
    <sheet name="PUNTOEQUI" sheetId="31" r:id="rId5"/>
    <sheet name="INGRESOS MENSUALES" sheetId="26" r:id="rId6"/>
    <sheet name="NIVELES" sheetId="25" r:id="rId7"/>
    <sheet name="proceso2025" sheetId="45" r:id="rId8"/>
  </sheets>
  <externalReferences>
    <externalReference r:id="rId9"/>
    <externalReference r:id="rId10"/>
    <externalReference r:id="rId11"/>
    <externalReference r:id="rId12"/>
    <externalReference r:id="rId13"/>
  </externalReferences>
  <definedNames>
    <definedName name="_xlnm._FilterDatabase" localSheetId="1" hidden="1">'POA2025'!$A$7:$CR$158</definedName>
    <definedName name="_xlnm._FilterDatabase" localSheetId="3" hidden="1">'PRES-GASTO'!$B$6:$R$97</definedName>
    <definedName name="_xlnm._FilterDatabase" localSheetId="0" hidden="1">RESU!$D$11:$K$11</definedName>
    <definedName name="_xlnm.Print_Area" localSheetId="1">'POA2025'!$A$1:$CP$159</definedName>
    <definedName name="OE">'[1]OE PDyOT'!$A$3:$A$8</definedName>
    <definedName name="_xlnm.Print_Titles" localSheetId="1">'POA2025'!$3:$7</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2" i="48" l="1"/>
  <c r="N101" i="48"/>
  <c r="N90" i="48"/>
  <c r="N107" i="48"/>
  <c r="N112" i="48"/>
  <c r="K111" i="48"/>
  <c r="N22" i="48"/>
  <c r="L36" i="48"/>
  <c r="N36" i="48"/>
  <c r="L37" i="48"/>
  <c r="N37" i="48"/>
  <c r="L38" i="48"/>
  <c r="N38" i="48"/>
  <c r="L39" i="48"/>
  <c r="N39" i="48"/>
  <c r="L41" i="48"/>
  <c r="N41" i="48"/>
  <c r="N35" i="48"/>
  <c r="N21" i="48"/>
  <c r="N46" i="48"/>
  <c r="N42" i="48"/>
  <c r="N62" i="48"/>
  <c r="N55" i="48"/>
  <c r="N72" i="48"/>
  <c r="N71" i="48"/>
  <c r="N7" i="48"/>
  <c r="L97" i="48"/>
  <c r="N97" i="48"/>
  <c r="N95" i="48"/>
  <c r="N94" i="48"/>
  <c r="L98" i="48"/>
  <c r="L95" i="48"/>
  <c r="L94" i="48"/>
  <c r="L103" i="48"/>
  <c r="L102" i="48"/>
  <c r="L101" i="48"/>
  <c r="L90" i="48"/>
  <c r="L24" i="48"/>
  <c r="L25" i="48"/>
  <c r="L26" i="48"/>
  <c r="L27" i="48"/>
  <c r="L28" i="48"/>
  <c r="L29" i="48"/>
  <c r="L30" i="48"/>
  <c r="L31" i="48"/>
  <c r="L32" i="48"/>
  <c r="L33" i="48"/>
  <c r="L34" i="48"/>
  <c r="L22" i="48"/>
  <c r="L40" i="48"/>
  <c r="L35" i="48"/>
  <c r="L21" i="48"/>
  <c r="L49" i="48"/>
  <c r="L46" i="48"/>
  <c r="L42" i="48"/>
  <c r="L63" i="48"/>
  <c r="L64" i="48"/>
  <c r="L65" i="48"/>
  <c r="L62" i="48"/>
  <c r="L55" i="48"/>
  <c r="L74" i="48"/>
  <c r="L72" i="48"/>
  <c r="L71" i="48"/>
  <c r="L7" i="48"/>
  <c r="L107" i="48"/>
  <c r="M90" i="48"/>
  <c r="M7" i="48"/>
  <c r="M107" i="48"/>
  <c r="E95" i="48"/>
  <c r="E94" i="48"/>
  <c r="E102" i="48"/>
  <c r="E101" i="48"/>
  <c r="E90" i="48"/>
  <c r="E77" i="48"/>
  <c r="E79" i="48"/>
  <c r="E83" i="48"/>
  <c r="E88" i="48"/>
  <c r="E76" i="48"/>
  <c r="E75" i="48"/>
  <c r="D11" i="48"/>
  <c r="E9" i="48"/>
  <c r="D13" i="48"/>
  <c r="D14" i="48"/>
  <c r="D15" i="48"/>
  <c r="D16" i="48"/>
  <c r="D17" i="48"/>
  <c r="D18" i="48"/>
  <c r="E12" i="48"/>
  <c r="D20" i="48"/>
  <c r="E19" i="48"/>
  <c r="E8" i="48"/>
  <c r="E22" i="48"/>
  <c r="E35" i="48"/>
  <c r="E21" i="48"/>
  <c r="E43" i="48"/>
  <c r="E46" i="48"/>
  <c r="E42" i="48"/>
  <c r="E62" i="48"/>
  <c r="E55" i="48"/>
  <c r="E67" i="48"/>
  <c r="E66" i="48"/>
  <c r="E72" i="48"/>
  <c r="E71" i="48"/>
  <c r="E7" i="48"/>
  <c r="E107" i="48"/>
  <c r="D106" i="48"/>
  <c r="D105" i="48"/>
  <c r="D104" i="48"/>
  <c r="M101" i="48"/>
  <c r="M94" i="48"/>
  <c r="E92" i="48"/>
  <c r="M71" i="48"/>
  <c r="N59" i="48"/>
  <c r="L59" i="48"/>
  <c r="E59" i="48"/>
  <c r="N56" i="48"/>
  <c r="L56" i="48"/>
  <c r="E56" i="48"/>
  <c r="M55" i="48"/>
  <c r="D49" i="48"/>
  <c r="N43" i="48"/>
  <c r="L43" i="48"/>
  <c r="M42" i="48"/>
  <c r="C34" i="48"/>
  <c r="B34" i="48"/>
  <c r="C33" i="48"/>
  <c r="D23" i="48"/>
  <c r="M21" i="48"/>
  <c r="N19" i="48"/>
  <c r="L19" i="48"/>
  <c r="N12" i="48"/>
  <c r="L12" i="48"/>
  <c r="N9" i="48"/>
  <c r="L9" i="48"/>
  <c r="N8" i="48"/>
  <c r="L8" i="48"/>
  <c r="B1" i="48"/>
  <c r="L64" i="47"/>
  <c r="L97" i="47"/>
  <c r="M64" i="47"/>
  <c r="M97" i="47"/>
  <c r="L100" i="47"/>
  <c r="H64" i="47"/>
  <c r="H97" i="47"/>
  <c r="I99" i="47"/>
  <c r="J99" i="47"/>
  <c r="G7" i="47"/>
  <c r="G20" i="47"/>
  <c r="G53" i="47"/>
  <c r="G58" i="47"/>
  <c r="G60" i="47"/>
  <c r="G64" i="47"/>
  <c r="G72" i="47"/>
  <c r="G84" i="47"/>
  <c r="G88" i="47"/>
  <c r="G94" i="47"/>
  <c r="G97" i="47"/>
  <c r="F8" i="47"/>
  <c r="F9" i="47"/>
  <c r="F10" i="47"/>
  <c r="F11" i="47"/>
  <c r="F12" i="47"/>
  <c r="F13" i="47"/>
  <c r="F14" i="47"/>
  <c r="F15" i="47"/>
  <c r="F16" i="47"/>
  <c r="F17" i="47"/>
  <c r="F18" i="47"/>
  <c r="F19" i="47"/>
  <c r="F7" i="47"/>
  <c r="F21" i="47"/>
  <c r="F22" i="47"/>
  <c r="F23" i="47"/>
  <c r="F24" i="47"/>
  <c r="F25" i="47"/>
  <c r="F26" i="47"/>
  <c r="F27" i="47"/>
  <c r="F28" i="47"/>
  <c r="F29" i="47"/>
  <c r="F30" i="47"/>
  <c r="F31" i="47"/>
  <c r="F32" i="47"/>
  <c r="F33" i="47"/>
  <c r="F34" i="47"/>
  <c r="F35" i="47"/>
  <c r="F36" i="47"/>
  <c r="F37" i="47"/>
  <c r="F38" i="47"/>
  <c r="F39" i="47"/>
  <c r="F40" i="47"/>
  <c r="F41" i="47"/>
  <c r="F42" i="47"/>
  <c r="F43" i="47"/>
  <c r="F44" i="47"/>
  <c r="F45" i="47"/>
  <c r="F46" i="47"/>
  <c r="F47" i="47"/>
  <c r="F48" i="47"/>
  <c r="F49" i="47"/>
  <c r="F50" i="47"/>
  <c r="F51" i="47"/>
  <c r="F52" i="47"/>
  <c r="F20" i="47"/>
  <c r="F54" i="47"/>
  <c r="F55" i="47"/>
  <c r="F56" i="47"/>
  <c r="F57" i="47"/>
  <c r="F53" i="47"/>
  <c r="F59" i="47"/>
  <c r="F58" i="47"/>
  <c r="F61" i="47"/>
  <c r="F62" i="47"/>
  <c r="F63" i="47"/>
  <c r="F60" i="47"/>
  <c r="F64" i="47"/>
  <c r="F73" i="47"/>
  <c r="F74" i="47"/>
  <c r="F75" i="47"/>
  <c r="F76" i="47"/>
  <c r="F77" i="47"/>
  <c r="F78" i="47"/>
  <c r="F79" i="47"/>
  <c r="F80" i="47"/>
  <c r="F81" i="47"/>
  <c r="F82" i="47"/>
  <c r="F83" i="47"/>
  <c r="F72" i="47"/>
  <c r="F85" i="47"/>
  <c r="F86" i="47"/>
  <c r="F87" i="47"/>
  <c r="F84" i="47"/>
  <c r="F89" i="47"/>
  <c r="F90" i="47"/>
  <c r="F91" i="47"/>
  <c r="F92" i="47"/>
  <c r="F93" i="47"/>
  <c r="F88" i="47"/>
  <c r="F94" i="47"/>
  <c r="F97" i="47"/>
  <c r="G98" i="47"/>
  <c r="Q7" i="47"/>
  <c r="Q20" i="47"/>
  <c r="Q53" i="47"/>
  <c r="Q58" i="47"/>
  <c r="Q60" i="47"/>
  <c r="Q64" i="47"/>
  <c r="Q72" i="47"/>
  <c r="Q84" i="47"/>
  <c r="Q88" i="47"/>
  <c r="Q94" i="47"/>
  <c r="Q97" i="47"/>
  <c r="P7" i="47"/>
  <c r="P36" i="47"/>
  <c r="P20" i="47"/>
  <c r="P53" i="47"/>
  <c r="P58" i="47"/>
  <c r="P60" i="47"/>
  <c r="P64" i="47"/>
  <c r="P72" i="47"/>
  <c r="P84" i="47"/>
  <c r="P89" i="47"/>
  <c r="P91" i="47"/>
  <c r="P88" i="47"/>
  <c r="P94" i="47"/>
  <c r="P97" i="47"/>
  <c r="O7" i="47"/>
  <c r="O20" i="47"/>
  <c r="O53" i="47"/>
  <c r="O58" i="47"/>
  <c r="O60" i="47"/>
  <c r="O64" i="47"/>
  <c r="O72" i="47"/>
  <c r="O84" i="47"/>
  <c r="O88" i="47"/>
  <c r="O94" i="47"/>
  <c r="O97" i="47"/>
  <c r="N8" i="47"/>
  <c r="N9" i="47"/>
  <c r="N10" i="47"/>
  <c r="N11" i="47"/>
  <c r="N12" i="47"/>
  <c r="N13" i="47"/>
  <c r="N14" i="47"/>
  <c r="N15" i="47"/>
  <c r="N16" i="47"/>
  <c r="N17" i="47"/>
  <c r="N18" i="47"/>
  <c r="N19" i="47"/>
  <c r="N7" i="47"/>
  <c r="N21" i="47"/>
  <c r="N22" i="47"/>
  <c r="N23" i="47"/>
  <c r="N24" i="47"/>
  <c r="N25" i="47"/>
  <c r="N26" i="47"/>
  <c r="N27" i="47"/>
  <c r="N28" i="47"/>
  <c r="N29" i="47"/>
  <c r="N30" i="47"/>
  <c r="N31" i="47"/>
  <c r="N32" i="47"/>
  <c r="N33" i="47"/>
  <c r="N34" i="47"/>
  <c r="N35" i="47"/>
  <c r="N36" i="47"/>
  <c r="N37" i="47"/>
  <c r="N38" i="47"/>
  <c r="N39" i="47"/>
  <c r="N40" i="47"/>
  <c r="N41" i="47"/>
  <c r="N42" i="47"/>
  <c r="N43" i="47"/>
  <c r="N44" i="47"/>
  <c r="N45" i="47"/>
  <c r="N46" i="47"/>
  <c r="N47" i="47"/>
  <c r="N48" i="47"/>
  <c r="N49" i="47"/>
  <c r="N50" i="47"/>
  <c r="N51" i="47"/>
  <c r="N52" i="47"/>
  <c r="N20" i="47"/>
  <c r="N54" i="47"/>
  <c r="N55" i="47"/>
  <c r="N56" i="47"/>
  <c r="N57" i="47"/>
  <c r="N53" i="47"/>
  <c r="N59" i="47"/>
  <c r="N58" i="47"/>
  <c r="N61" i="47"/>
  <c r="N62" i="47"/>
  <c r="N63" i="47"/>
  <c r="N60" i="47"/>
  <c r="N64" i="47"/>
  <c r="N73" i="47"/>
  <c r="N74" i="47"/>
  <c r="N75" i="47"/>
  <c r="N76" i="47"/>
  <c r="N77" i="47"/>
  <c r="N78" i="47"/>
  <c r="N79" i="47"/>
  <c r="N80" i="47"/>
  <c r="N81" i="47"/>
  <c r="N82" i="47"/>
  <c r="N83" i="47"/>
  <c r="N72" i="47"/>
  <c r="N85" i="47"/>
  <c r="N86" i="47"/>
  <c r="N87" i="47"/>
  <c r="N84" i="47"/>
  <c r="N89" i="47"/>
  <c r="N90" i="47"/>
  <c r="N91" i="47"/>
  <c r="N92" i="47"/>
  <c r="N93" i="47"/>
  <c r="N88" i="47"/>
  <c r="N94" i="47"/>
  <c r="N97" i="47"/>
  <c r="K64" i="47"/>
  <c r="K94" i="47"/>
  <c r="K97" i="47"/>
  <c r="J64" i="47"/>
  <c r="J94" i="47"/>
  <c r="J97" i="47"/>
  <c r="I64" i="47"/>
  <c r="I94" i="47"/>
  <c r="I97" i="47"/>
  <c r="D72" i="47"/>
  <c r="D84" i="47"/>
  <c r="D88" i="47"/>
  <c r="D94" i="47"/>
  <c r="D7" i="47"/>
  <c r="D20" i="47"/>
  <c r="D53" i="47"/>
  <c r="D58" i="47"/>
  <c r="D60" i="47"/>
  <c r="D64" i="47"/>
  <c r="B1" i="47"/>
  <c r="L13" i="11"/>
  <c r="O32" i="11"/>
  <c r="L14" i="11"/>
  <c r="L15" i="11"/>
  <c r="L16" i="11"/>
  <c r="L17" i="11"/>
  <c r="L18" i="11"/>
  <c r="L19" i="11"/>
  <c r="L20" i="11"/>
  <c r="O33" i="11"/>
  <c r="O34" i="11"/>
  <c r="L22" i="11"/>
  <c r="O35" i="11"/>
  <c r="L23" i="11"/>
  <c r="L24" i="11"/>
  <c r="L25" i="11"/>
  <c r="L26" i="11"/>
  <c r="O36" i="11"/>
  <c r="O37" i="11"/>
  <c r="J22" i="11"/>
  <c r="M35" i="11"/>
  <c r="J23" i="11"/>
  <c r="J24" i="11"/>
  <c r="J25" i="11"/>
  <c r="J26" i="11"/>
  <c r="M36" i="11"/>
  <c r="M37" i="11"/>
  <c r="H22" i="11"/>
  <c r="K35" i="11"/>
  <c r="H23" i="11"/>
  <c r="H24" i="11"/>
  <c r="H25" i="11"/>
  <c r="H26" i="11"/>
  <c r="K36" i="11"/>
  <c r="K37" i="11"/>
  <c r="J13" i="11"/>
  <c r="M32" i="11"/>
  <c r="J14" i="11"/>
  <c r="J15" i="11"/>
  <c r="J16" i="11"/>
  <c r="J17" i="11"/>
  <c r="J18" i="11"/>
  <c r="J19" i="11"/>
  <c r="J20" i="11"/>
  <c r="M33" i="11"/>
  <c r="M34" i="11"/>
  <c r="H13" i="11"/>
  <c r="K32" i="11"/>
  <c r="H14" i="11"/>
  <c r="H15" i="11"/>
  <c r="H16" i="11"/>
  <c r="H17" i="11"/>
  <c r="H18" i="11"/>
  <c r="H19" i="11"/>
  <c r="H20" i="11"/>
  <c r="K33" i="11"/>
  <c r="K34" i="11"/>
  <c r="J21" i="11"/>
  <c r="J27" i="11"/>
  <c r="J28" i="11"/>
  <c r="H21" i="11"/>
  <c r="H27" i="11"/>
  <c r="H28" i="11"/>
  <c r="K28" i="11"/>
  <c r="O38" i="11"/>
  <c r="K38" i="11"/>
  <c r="P38" i="11"/>
  <c r="L21" i="11"/>
  <c r="L27" i="11"/>
  <c r="L28" i="11"/>
  <c r="M28" i="11"/>
  <c r="M27" i="11"/>
  <c r="P37" i="11"/>
  <c r="P36" i="11"/>
  <c r="P35" i="11"/>
  <c r="P33" i="11"/>
  <c r="P32" i="11"/>
  <c r="N35" i="11"/>
  <c r="M21" i="11"/>
  <c r="K21" i="11"/>
  <c r="P34" i="11"/>
  <c r="M20" i="11"/>
  <c r="M26" i="11"/>
  <c r="M25" i="11"/>
  <c r="M24" i="11"/>
  <c r="M23" i="11"/>
  <c r="M22" i="11"/>
  <c r="M19" i="11"/>
  <c r="M18" i="11"/>
  <c r="M17" i="11"/>
  <c r="M16" i="11"/>
  <c r="M15" i="11"/>
  <c r="M14" i="11"/>
  <c r="M13" i="11"/>
  <c r="CF9" i="4"/>
  <c r="CF10" i="4"/>
  <c r="CF11" i="4"/>
  <c r="CF12" i="4"/>
  <c r="CF13" i="4"/>
  <c r="CF14" i="4"/>
  <c r="CF15" i="4"/>
  <c r="CF16" i="4"/>
  <c r="CF17" i="4"/>
  <c r="CF18" i="4"/>
  <c r="CF19" i="4"/>
  <c r="CF20" i="4"/>
  <c r="CF21" i="4"/>
  <c r="CF22" i="4"/>
  <c r="CF23" i="4"/>
  <c r="CF24" i="4"/>
  <c r="CF25" i="4"/>
  <c r="CF26" i="4"/>
  <c r="CF27" i="4"/>
  <c r="CF28" i="4"/>
  <c r="CF29" i="4"/>
  <c r="CF30" i="4"/>
  <c r="CF31" i="4"/>
  <c r="CF32" i="4"/>
  <c r="CF33" i="4"/>
  <c r="CF34" i="4"/>
  <c r="CF35" i="4"/>
  <c r="CF36" i="4"/>
  <c r="CF37" i="4"/>
  <c r="CF38" i="4"/>
  <c r="CF39" i="4"/>
  <c r="CF40" i="4"/>
  <c r="CF41" i="4"/>
  <c r="CF42" i="4"/>
  <c r="CF43" i="4"/>
  <c r="CF44" i="4"/>
  <c r="CF45" i="4"/>
  <c r="CD46" i="4"/>
  <c r="CF46" i="4"/>
  <c r="CF47" i="4"/>
  <c r="CF48" i="4"/>
  <c r="CF49" i="4"/>
  <c r="CF50" i="4"/>
  <c r="CF51" i="4"/>
  <c r="CF52" i="4"/>
  <c r="CF53" i="4"/>
  <c r="CF54" i="4"/>
  <c r="CF55" i="4"/>
  <c r="CF56" i="4"/>
  <c r="CF57" i="4"/>
  <c r="CF58" i="4"/>
  <c r="CF59" i="4"/>
  <c r="CF60" i="4"/>
  <c r="CF61" i="4"/>
  <c r="CF62" i="4"/>
  <c r="CF63" i="4"/>
  <c r="CF64" i="4"/>
  <c r="CF65" i="4"/>
  <c r="CF66" i="4"/>
  <c r="CF67" i="4"/>
  <c r="CF68" i="4"/>
  <c r="CF69" i="4"/>
  <c r="CF70" i="4"/>
  <c r="CF71" i="4"/>
  <c r="CF72" i="4"/>
  <c r="CF73" i="4"/>
  <c r="CF74" i="4"/>
  <c r="CF75" i="4"/>
  <c r="CF76" i="4"/>
  <c r="CF77" i="4"/>
  <c r="CF78" i="4"/>
  <c r="CF79" i="4"/>
  <c r="CF80" i="4"/>
  <c r="CF81" i="4"/>
  <c r="CF82" i="4"/>
  <c r="CF83" i="4"/>
  <c r="CF84" i="4"/>
  <c r="CF85" i="4"/>
  <c r="CF86" i="4"/>
  <c r="CF87" i="4"/>
  <c r="CF88" i="4"/>
  <c r="CF89" i="4"/>
  <c r="CF90" i="4"/>
  <c r="CF91" i="4"/>
  <c r="CF92" i="4"/>
  <c r="CF93" i="4"/>
  <c r="CF94" i="4"/>
  <c r="CF95" i="4"/>
  <c r="CF96" i="4"/>
  <c r="CF97" i="4"/>
  <c r="CF98" i="4"/>
  <c r="CF99" i="4"/>
  <c r="CF100" i="4"/>
  <c r="CF101" i="4"/>
  <c r="CF102" i="4"/>
  <c r="CF103" i="4"/>
  <c r="CF104" i="4"/>
  <c r="CF105" i="4"/>
  <c r="CF106" i="4"/>
  <c r="CF107" i="4"/>
  <c r="CF108" i="4"/>
  <c r="CF109" i="4"/>
  <c r="CF110" i="4"/>
  <c r="CF111" i="4"/>
  <c r="CF112" i="4"/>
  <c r="CF113" i="4"/>
  <c r="CF114" i="4"/>
  <c r="CF115" i="4"/>
  <c r="CF116" i="4"/>
  <c r="CF117" i="4"/>
  <c r="CF118" i="4"/>
  <c r="CF119" i="4"/>
  <c r="CF120" i="4"/>
  <c r="CF121" i="4"/>
  <c r="CF122" i="4"/>
  <c r="CF123" i="4"/>
  <c r="CF124" i="4"/>
  <c r="CF125" i="4"/>
  <c r="CF126" i="4"/>
  <c r="CF127" i="4"/>
  <c r="CF128" i="4"/>
  <c r="CF129" i="4"/>
  <c r="CF130" i="4"/>
  <c r="CF131" i="4"/>
  <c r="CF132" i="4"/>
  <c r="CF133" i="4"/>
  <c r="CF134" i="4"/>
  <c r="CF135" i="4"/>
  <c r="CF136" i="4"/>
  <c r="CF137" i="4"/>
  <c r="CF138" i="4"/>
  <c r="CF139" i="4"/>
  <c r="CF140" i="4"/>
  <c r="CF141" i="4"/>
  <c r="CF142" i="4"/>
  <c r="CF143" i="4"/>
  <c r="CF144" i="4"/>
  <c r="CF145" i="4"/>
  <c r="CF146" i="4"/>
  <c r="CF147" i="4"/>
  <c r="CF148" i="4"/>
  <c r="CF149" i="4"/>
  <c r="CF150" i="4"/>
  <c r="CF151" i="4"/>
  <c r="CF152" i="4"/>
  <c r="CF153" i="4"/>
  <c r="CF154" i="4"/>
  <c r="CF155" i="4"/>
  <c r="CF156" i="4"/>
  <c r="CF157" i="4"/>
  <c r="CF8" i="4"/>
  <c r="CE34" i="4"/>
  <c r="CD34" i="4"/>
  <c r="CD31" i="4"/>
  <c r="CE31" i="4"/>
  <c r="CE92" i="4"/>
  <c r="CE91" i="4"/>
  <c r="CE85" i="4"/>
  <c r="CE77" i="4"/>
  <c r="CE75" i="4"/>
  <c r="CE67" i="4"/>
  <c r="CE53" i="4"/>
  <c r="CE52" i="4"/>
  <c r="CE51" i="4"/>
  <c r="CE48" i="4"/>
  <c r="CE43" i="4"/>
  <c r="CE42" i="4"/>
  <c r="CE40" i="4"/>
  <c r="CE37" i="4"/>
  <c r="CE30" i="4"/>
  <c r="CE24" i="4"/>
  <c r="CE19" i="4"/>
  <c r="CE18" i="4"/>
  <c r="CE17" i="4"/>
  <c r="CE16" i="4"/>
  <c r="CE14" i="4"/>
  <c r="CE12" i="4"/>
  <c r="CE11" i="4"/>
  <c r="CE10" i="4"/>
  <c r="CE9" i="4"/>
  <c r="CD9" i="4"/>
  <c r="CE8" i="4"/>
  <c r="CD17" i="4"/>
  <c r="BP18" i="4"/>
  <c r="BP14" i="4"/>
  <c r="BX14" i="4"/>
  <c r="BX18" i="4"/>
  <c r="CD42" i="4"/>
  <c r="CD18" i="4"/>
  <c r="CD14" i="4"/>
  <c r="CD16" i="4"/>
  <c r="CD10" i="4"/>
  <c r="CD8" i="4"/>
  <c r="CD40" i="4"/>
  <c r="CD37" i="4"/>
  <c r="CD48" i="4"/>
  <c r="CD92" i="4"/>
  <c r="CD91" i="4"/>
  <c r="CD30" i="4"/>
  <c r="CD109" i="4"/>
  <c r="CD24" i="4"/>
  <c r="CD77" i="4"/>
  <c r="BX42" i="4"/>
  <c r="BP42" i="4"/>
  <c r="BX40" i="4"/>
  <c r="BP40" i="4"/>
  <c r="BX37" i="4"/>
  <c r="BP37" i="4"/>
  <c r="CD108" i="4"/>
  <c r="CD12" i="4"/>
  <c r="BX12" i="4"/>
  <c r="BP12" i="4"/>
  <c r="CD53" i="4"/>
  <c r="CD52" i="4"/>
  <c r="CD67" i="4"/>
  <c r="CD85" i="4"/>
  <c r="BP52" i="4"/>
  <c r="CD75" i="4"/>
  <c r="CD11" i="4"/>
  <c r="CD51" i="4"/>
  <c r="BX17" i="4"/>
  <c r="BP17" i="4"/>
  <c r="BX10" i="4"/>
  <c r="BP10" i="4"/>
  <c r="BX9" i="4"/>
  <c r="BP9" i="4"/>
  <c r="CE83" i="4"/>
  <c r="CE82" i="4"/>
  <c r="CE69" i="4"/>
  <c r="CE68" i="4"/>
  <c r="CE64" i="4"/>
  <c r="CE58" i="4"/>
  <c r="CE15" i="4"/>
  <c r="CE158" i="4"/>
  <c r="CD69" i="4"/>
  <c r="BX69" i="4"/>
  <c r="BP91" i="4"/>
  <c r="BP19" i="4"/>
  <c r="BX154" i="4"/>
  <c r="BP69" i="4"/>
  <c r="BP77" i="4"/>
  <c r="BX77" i="4"/>
  <c r="BX92" i="4"/>
  <c r="BX91" i="4"/>
  <c r="BP92" i="4"/>
  <c r="BI158" i="4"/>
  <c r="AM81" i="4"/>
  <c r="AP81" i="4"/>
  <c r="AS81" i="4"/>
  <c r="AV81" i="4"/>
  <c r="AY81" i="4"/>
  <c r="BB81" i="4"/>
  <c r="BE81" i="4"/>
  <c r="BK81" i="4"/>
  <c r="AH81" i="4"/>
  <c r="AD81" i="4"/>
  <c r="BM69" i="4"/>
  <c r="BM66" i="4"/>
  <c r="BP66" i="4"/>
  <c r="BE41" i="4"/>
  <c r="BK41" i="4"/>
  <c r="AG41" i="4"/>
  <c r="AH41" i="4"/>
  <c r="AP41" i="4"/>
  <c r="AS41" i="4"/>
  <c r="AV41" i="4"/>
  <c r="AY41" i="4"/>
  <c r="AD41" i="4"/>
  <c r="BJ158" i="4"/>
  <c r="BD158" i="4"/>
  <c r="BH79" i="4"/>
  <c r="BK79" i="4"/>
  <c r="BH80" i="4"/>
  <c r="BK80" i="4"/>
  <c r="BH99" i="4"/>
  <c r="BK99" i="4"/>
  <c r="BX26" i="4"/>
  <c r="BP26" i="4"/>
  <c r="BX19" i="4"/>
  <c r="CD19" i="4"/>
  <c r="BF91" i="4"/>
  <c r="BP154" i="4"/>
  <c r="BP156" i="4"/>
  <c r="BP155" i="4"/>
  <c r="BL158" i="4"/>
  <c r="AI158" i="4"/>
  <c r="AJ158" i="4"/>
  <c r="AK158" i="4"/>
  <c r="AL158" i="4"/>
  <c r="AO158" i="4"/>
  <c r="AR158" i="4"/>
  <c r="AT158" i="4"/>
  <c r="AU158" i="4"/>
  <c r="AW158" i="4"/>
  <c r="AX158" i="4"/>
  <c r="AZ158" i="4"/>
  <c r="BA158" i="4"/>
  <c r="BF141" i="4"/>
  <c r="BF158" i="4"/>
  <c r="BX155" i="4"/>
  <c r="BX164" i="4"/>
  <c r="BX156" i="4"/>
  <c r="BX163" i="4"/>
  <c r="BX66" i="4"/>
  <c r="AG80" i="4"/>
  <c r="AH80" i="4"/>
  <c r="AM80" i="4"/>
  <c r="AP80" i="4"/>
  <c r="AS80" i="4"/>
  <c r="AV80" i="4"/>
  <c r="AY80" i="4"/>
  <c r="BB80" i="4"/>
  <c r="AD80" i="4"/>
  <c r="AM79" i="4"/>
  <c r="AP79" i="4"/>
  <c r="AS79" i="4"/>
  <c r="AV79" i="4"/>
  <c r="AY79" i="4"/>
  <c r="BB79" i="4"/>
  <c r="AG79" i="4"/>
  <c r="AH79" i="4"/>
  <c r="AD79" i="4"/>
  <c r="BG22" i="4"/>
  <c r="BN96" i="4"/>
  <c r="BN158" i="4"/>
  <c r="BM96" i="4"/>
  <c r="CP99" i="4"/>
  <c r="AD99" i="4"/>
  <c r="Z99" i="4"/>
  <c r="BE22" i="4"/>
  <c r="BE27" i="4"/>
  <c r="BH27" i="4"/>
  <c r="BK27" i="4"/>
  <c r="BE28" i="4"/>
  <c r="BH28" i="4"/>
  <c r="BK28" i="4"/>
  <c r="BE29" i="4"/>
  <c r="BH29" i="4"/>
  <c r="BK29" i="4"/>
  <c r="BE32" i="4"/>
  <c r="BH32" i="4"/>
  <c r="BK32" i="4"/>
  <c r="BE35" i="4"/>
  <c r="BH35" i="4"/>
  <c r="BK35" i="4"/>
  <c r="BE37" i="4"/>
  <c r="BE38" i="4"/>
  <c r="BH38" i="4"/>
  <c r="BK38" i="4"/>
  <c r="BE39" i="4"/>
  <c r="BH39" i="4"/>
  <c r="BK39" i="4"/>
  <c r="BE40" i="4"/>
  <c r="BE60" i="4"/>
  <c r="BH60" i="4"/>
  <c r="BK60" i="4"/>
  <c r="BE68" i="4"/>
  <c r="BH68" i="4"/>
  <c r="BK68" i="4"/>
  <c r="BE70" i="4"/>
  <c r="BH70" i="4"/>
  <c r="BK70" i="4"/>
  <c r="BE71" i="4"/>
  <c r="BH71" i="4"/>
  <c r="BK71" i="4"/>
  <c r="BE78" i="4"/>
  <c r="BH78" i="4"/>
  <c r="BK78" i="4"/>
  <c r="BE153" i="4"/>
  <c r="BH153" i="4"/>
  <c r="BK153" i="4"/>
  <c r="BH22" i="4"/>
  <c r="BK22" i="4"/>
  <c r="BH40" i="4"/>
  <c r="BK40" i="4"/>
  <c r="AG40" i="4"/>
  <c r="BH37" i="4"/>
  <c r="BK37" i="4"/>
  <c r="AG37" i="4"/>
  <c r="AM99" i="4"/>
  <c r="AP99" i="4"/>
  <c r="AS99" i="4"/>
  <c r="AV99" i="4"/>
  <c r="AY99" i="4"/>
  <c r="BB99" i="4"/>
  <c r="AG99" i="4"/>
  <c r="AH99" i="4"/>
  <c r="BP67" i="4"/>
  <c r="BX16" i="4"/>
  <c r="BP16" i="4"/>
  <c r="T44" i="11"/>
  <c r="R44" i="11"/>
  <c r="O27" i="11"/>
  <c r="H43" i="11"/>
  <c r="H42" i="11"/>
  <c r="AH8" i="4"/>
  <c r="BP15" i="4"/>
  <c r="CD15" i="4"/>
  <c r="BX15" i="4"/>
  <c r="BM70" i="4"/>
  <c r="H166" i="4"/>
  <c r="E29" i="31"/>
  <c r="D29" i="31"/>
  <c r="BC157" i="4"/>
  <c r="BC158" i="4"/>
  <c r="F26" i="11"/>
  <c r="CP78" i="4"/>
  <c r="AM78" i="4"/>
  <c r="AP78" i="4"/>
  <c r="AS78" i="4"/>
  <c r="AV78" i="4"/>
  <c r="AY78" i="4"/>
  <c r="AH78" i="4"/>
  <c r="AD78" i="4"/>
  <c r="AP40" i="4"/>
  <c r="AS40" i="4"/>
  <c r="AV40" i="4"/>
  <c r="AY40" i="4"/>
  <c r="AH40" i="4"/>
  <c r="AD40" i="4"/>
  <c r="AP39" i="4"/>
  <c r="AS39" i="4"/>
  <c r="AV39" i="4"/>
  <c r="AY39" i="4"/>
  <c r="AH39" i="4"/>
  <c r="AD39" i="4"/>
  <c r="AP38" i="4"/>
  <c r="AS38" i="4"/>
  <c r="AV38" i="4"/>
  <c r="AY38" i="4"/>
  <c r="AH38" i="4"/>
  <c r="AD38" i="4"/>
  <c r="AP37" i="4"/>
  <c r="AS37" i="4"/>
  <c r="AV37" i="4"/>
  <c r="AY37" i="4"/>
  <c r="AH37" i="4"/>
  <c r="AD37" i="4"/>
  <c r="N24" i="11"/>
  <c r="N23" i="11"/>
  <c r="D6" i="31"/>
  <c r="D7" i="31"/>
  <c r="O19" i="11"/>
  <c r="O21" i="11"/>
  <c r="O28" i="11"/>
  <c r="D8" i="31"/>
  <c r="N18" i="11"/>
  <c r="C7" i="31"/>
  <c r="E7" i="31"/>
  <c r="D14" i="31"/>
  <c r="F16" i="11"/>
  <c r="AD109" i="4"/>
  <c r="C6" i="31"/>
  <c r="AD91" i="4"/>
  <c r="AD93" i="4"/>
  <c r="AD92" i="4"/>
  <c r="AD71" i="4"/>
  <c r="AH86" i="4"/>
  <c r="AH87" i="4"/>
  <c r="AH88" i="4"/>
  <c r="AH128" i="4"/>
  <c r="AH134" i="4"/>
  <c r="AH135" i="4"/>
  <c r="AH136" i="4"/>
  <c r="AH137" i="4"/>
  <c r="AH138" i="4"/>
  <c r="AH147" i="4"/>
  <c r="AH148" i="4"/>
  <c r="AH149" i="4"/>
  <c r="AH150" i="4"/>
  <c r="F13" i="11"/>
  <c r="G13" i="11"/>
  <c r="F14" i="11"/>
  <c r="G14" i="11"/>
  <c r="F15" i="11"/>
  <c r="G15" i="11"/>
  <c r="F17" i="11"/>
  <c r="G17" i="11"/>
  <c r="F18" i="11"/>
  <c r="F19" i="11"/>
  <c r="G20" i="11"/>
  <c r="F22" i="11"/>
  <c r="G22" i="11"/>
  <c r="G23" i="11"/>
  <c r="F24" i="11"/>
  <c r="G25" i="11"/>
  <c r="G26" i="11"/>
  <c r="C8" i="31"/>
  <c r="E6" i="31"/>
  <c r="E8" i="31"/>
  <c r="CP153" i="4"/>
  <c r="AM153" i="4"/>
  <c r="AP153" i="4"/>
  <c r="AS153" i="4"/>
  <c r="AV153" i="4"/>
  <c r="AY153" i="4"/>
  <c r="AD153" i="4"/>
  <c r="AH153" i="4"/>
  <c r="F95" i="26"/>
  <c r="G95" i="26"/>
  <c r="G96" i="26"/>
  <c r="J95" i="26"/>
  <c r="J96" i="26"/>
  <c r="H95" i="26"/>
  <c r="I96" i="26"/>
  <c r="H84" i="26"/>
  <c r="H83" i="26"/>
  <c r="H85" i="26"/>
  <c r="H86" i="26"/>
  <c r="T89" i="26"/>
  <c r="Q89" i="26"/>
  <c r="N89" i="26"/>
  <c r="H65" i="26"/>
  <c r="H87" i="26"/>
  <c r="H96" i="26"/>
  <c r="T68" i="26"/>
  <c r="Q68" i="26"/>
  <c r="N68" i="26"/>
  <c r="K68" i="26"/>
  <c r="T48" i="26"/>
  <c r="Q48" i="26"/>
  <c r="N48" i="26"/>
  <c r="K48" i="26"/>
  <c r="H41" i="26"/>
  <c r="H46" i="26"/>
  <c r="G87" i="26"/>
  <c r="F87" i="26"/>
  <c r="E87" i="26"/>
  <c r="D87" i="26"/>
  <c r="C87" i="26"/>
  <c r="B87" i="26"/>
  <c r="G66" i="26"/>
  <c r="F66" i="26"/>
  <c r="E66" i="26"/>
  <c r="D66" i="26"/>
  <c r="C66" i="26"/>
  <c r="B66" i="26"/>
  <c r="H66" i="26"/>
  <c r="H68" i="26"/>
  <c r="G46" i="26"/>
  <c r="F46" i="26"/>
  <c r="E46" i="26"/>
  <c r="D46" i="26"/>
  <c r="C46" i="26"/>
  <c r="B46" i="26"/>
  <c r="S23" i="26"/>
  <c r="R23" i="26"/>
  <c r="Q23" i="26"/>
  <c r="Q25" i="26"/>
  <c r="P23" i="26"/>
  <c r="O23" i="26"/>
  <c r="M23" i="26"/>
  <c r="L23" i="26"/>
  <c r="J23" i="26"/>
  <c r="I23" i="26"/>
  <c r="G23" i="26"/>
  <c r="F23" i="26"/>
  <c r="E23" i="26"/>
  <c r="D23" i="26"/>
  <c r="C23" i="26"/>
  <c r="B23" i="26"/>
  <c r="T22" i="26"/>
  <c r="N22" i="26"/>
  <c r="N23" i="26"/>
  <c r="N25" i="26"/>
  <c r="T21" i="26"/>
  <c r="T20" i="26"/>
  <c r="T19" i="26"/>
  <c r="T18" i="26"/>
  <c r="K18" i="26"/>
  <c r="K23" i="26"/>
  <c r="K25" i="26"/>
  <c r="H18" i="26"/>
  <c r="H23" i="26"/>
  <c r="H25" i="26"/>
  <c r="D72" i="25"/>
  <c r="C72" i="25"/>
  <c r="F71" i="25"/>
  <c r="F70" i="25"/>
  <c r="F69" i="25"/>
  <c r="E69" i="25"/>
  <c r="F68" i="25"/>
  <c r="E68" i="25"/>
  <c r="D63" i="25"/>
  <c r="C63" i="25"/>
  <c r="F62" i="25"/>
  <c r="E62" i="25"/>
  <c r="F61" i="25"/>
  <c r="F60" i="25"/>
  <c r="E60" i="25"/>
  <c r="D54" i="25"/>
  <c r="C54" i="25"/>
  <c r="F53" i="25"/>
  <c r="F52" i="25"/>
  <c r="F51" i="25"/>
  <c r="E51" i="25"/>
  <c r="D45" i="25"/>
  <c r="C45" i="25"/>
  <c r="F44" i="25"/>
  <c r="E44" i="25"/>
  <c r="C41" i="25"/>
  <c r="D38" i="25"/>
  <c r="C38" i="25"/>
  <c r="F37" i="25"/>
  <c r="E37" i="25"/>
  <c r="F36" i="25"/>
  <c r="E36" i="25"/>
  <c r="F35" i="25"/>
  <c r="E35" i="25"/>
  <c r="F33" i="25"/>
  <c r="E33" i="25"/>
  <c r="F32" i="25"/>
  <c r="E32" i="25"/>
  <c r="C29" i="25"/>
  <c r="H26" i="25"/>
  <c r="H23" i="25"/>
  <c r="H21" i="25"/>
  <c r="H20" i="25"/>
  <c r="F13" i="25"/>
  <c r="F10" i="25"/>
  <c r="F63" i="25"/>
  <c r="F38" i="25"/>
  <c r="F72" i="25"/>
  <c r="F54" i="25"/>
  <c r="F45" i="25"/>
  <c r="H48" i="26"/>
  <c r="T23" i="26"/>
  <c r="T25" i="26"/>
  <c r="H89" i="26"/>
  <c r="E45" i="25"/>
  <c r="E72" i="25"/>
  <c r="E38" i="25"/>
  <c r="E63" i="25"/>
  <c r="E54" i="25"/>
  <c r="AD132" i="4"/>
  <c r="C13" i="31"/>
  <c r="AD22" i="4"/>
  <c r="Z22" i="4"/>
  <c r="AM22" i="4"/>
  <c r="AP22" i="4"/>
  <c r="AS22" i="4"/>
  <c r="AV22" i="4"/>
  <c r="AY22" i="4"/>
  <c r="BB109" i="4"/>
  <c r="BE109" i="4"/>
  <c r="BH109" i="4"/>
  <c r="BK109" i="4"/>
  <c r="AD108" i="4"/>
  <c r="C14" i="31"/>
  <c r="E14" i="31"/>
  <c r="AH109" i="4"/>
  <c r="F20" i="11"/>
  <c r="AH22" i="4"/>
  <c r="F25" i="11"/>
  <c r="CP142" i="4"/>
  <c r="AM142" i="4"/>
  <c r="AP142" i="4"/>
  <c r="AS142" i="4"/>
  <c r="AV142" i="4"/>
  <c r="AY142" i="4"/>
  <c r="BB142" i="4"/>
  <c r="BE142" i="4"/>
  <c r="AD142" i="4"/>
  <c r="CP141" i="4"/>
  <c r="AM141" i="4"/>
  <c r="AP141" i="4"/>
  <c r="AS141" i="4"/>
  <c r="AV141" i="4"/>
  <c r="AY141" i="4"/>
  <c r="BB141" i="4"/>
  <c r="BE141" i="4"/>
  <c r="AD141" i="4"/>
  <c r="CP140" i="4"/>
  <c r="AM140" i="4"/>
  <c r="AP140" i="4"/>
  <c r="AS140" i="4"/>
  <c r="AV140" i="4"/>
  <c r="AY140" i="4"/>
  <c r="BB140" i="4"/>
  <c r="BE140" i="4"/>
  <c r="AD140" i="4"/>
  <c r="AD139" i="4"/>
  <c r="AD133" i="4"/>
  <c r="BB130" i="4"/>
  <c r="BE130" i="4"/>
  <c r="BH130" i="4"/>
  <c r="BK130" i="4"/>
  <c r="BB131" i="4"/>
  <c r="BE131" i="4"/>
  <c r="BH131" i="4"/>
  <c r="BK131" i="4"/>
  <c r="AD131" i="4"/>
  <c r="AD130" i="4"/>
  <c r="AD129" i="4"/>
  <c r="AD60" i="4"/>
  <c r="AD70" i="4"/>
  <c r="BY66" i="4"/>
  <c r="BR66" i="4"/>
  <c r="BH141" i="4"/>
  <c r="BK141" i="4"/>
  <c r="AG141" i="4"/>
  <c r="AH141" i="4"/>
  <c r="BH140" i="4"/>
  <c r="BK140" i="4"/>
  <c r="AG140" i="4"/>
  <c r="AH140" i="4"/>
  <c r="BG142" i="4"/>
  <c r="BG158" i="4"/>
  <c r="F23" i="11"/>
  <c r="F27" i="11"/>
  <c r="F21" i="11"/>
  <c r="AH71" i="4"/>
  <c r="AH130" i="4"/>
  <c r="AH131" i="4"/>
  <c r="BB108" i="4"/>
  <c r="BE108" i="4"/>
  <c r="BH108" i="4"/>
  <c r="BK108" i="4"/>
  <c r="BB93" i="4"/>
  <c r="BE93" i="4"/>
  <c r="BH93" i="4"/>
  <c r="BK93" i="4"/>
  <c r="BB129" i="4"/>
  <c r="BE129" i="4"/>
  <c r="BH129" i="4"/>
  <c r="BK129" i="4"/>
  <c r="BB132" i="4"/>
  <c r="BE132" i="4"/>
  <c r="BH132" i="4"/>
  <c r="BK132" i="4"/>
  <c r="BB133" i="4"/>
  <c r="BE133" i="4"/>
  <c r="BH133" i="4"/>
  <c r="BK133" i="4"/>
  <c r="BH142" i="4"/>
  <c r="BK142" i="4"/>
  <c r="AG142" i="4"/>
  <c r="AH142" i="4"/>
  <c r="F28" i="11"/>
  <c r="AH132" i="4"/>
  <c r="AH129" i="4"/>
  <c r="AH93" i="4"/>
  <c r="AH133" i="4"/>
  <c r="N25" i="11"/>
  <c r="N27" i="11"/>
  <c r="AH70" i="4"/>
  <c r="AH60" i="4"/>
  <c r="AH108" i="4"/>
  <c r="D16" i="31"/>
  <c r="P44" i="11"/>
  <c r="L44" i="11"/>
  <c r="BP27" i="4"/>
  <c r="CP69" i="4"/>
  <c r="AP69" i="4"/>
  <c r="AS69" i="4"/>
  <c r="AV69" i="4"/>
  <c r="AD69" i="4"/>
  <c r="AP36" i="4"/>
  <c r="AS36" i="4"/>
  <c r="AV36" i="4"/>
  <c r="AY36" i="4"/>
  <c r="BB36" i="4"/>
  <c r="BE36" i="4"/>
  <c r="BH36" i="4"/>
  <c r="BK36" i="4"/>
  <c r="AD36" i="4"/>
  <c r="AH36" i="4"/>
  <c r="AY69" i="4"/>
  <c r="BB69" i="4"/>
  <c r="BE69" i="4"/>
  <c r="BH69" i="4"/>
  <c r="BK69" i="4"/>
  <c r="AH69" i="4"/>
  <c r="L52" i="11"/>
  <c r="J52" i="11"/>
  <c r="K50" i="11"/>
  <c r="M50" i="11"/>
  <c r="K51" i="11"/>
  <c r="K52" i="11"/>
  <c r="M51" i="11"/>
  <c r="N43" i="11"/>
  <c r="N44" i="11"/>
  <c r="CD68" i="4"/>
  <c r="CD64" i="4"/>
  <c r="CD82" i="4"/>
  <c r="CD83" i="4"/>
  <c r="CD43" i="4"/>
  <c r="BX125" i="4"/>
  <c r="BX68" i="4"/>
  <c r="BP68" i="4"/>
  <c r="CP123" i="4"/>
  <c r="AM123" i="4"/>
  <c r="AP123" i="4"/>
  <c r="AV123" i="4"/>
  <c r="AY123" i="4"/>
  <c r="BB123" i="4"/>
  <c r="BE123" i="4"/>
  <c r="AD123" i="4"/>
  <c r="AV35" i="4"/>
  <c r="AY35" i="4"/>
  <c r="AV59" i="4"/>
  <c r="AY59" i="4"/>
  <c r="BB59" i="4"/>
  <c r="BE59" i="4"/>
  <c r="BH59" i="4"/>
  <c r="BK59" i="4"/>
  <c r="BX24" i="4"/>
  <c r="BP24" i="4"/>
  <c r="BH123" i="4"/>
  <c r="BK123" i="4"/>
  <c r="AG123" i="4"/>
  <c r="AH123" i="4"/>
  <c r="AH59" i="4"/>
  <c r="AH35" i="4"/>
  <c r="AD100" i="4"/>
  <c r="AD65" i="4"/>
  <c r="BX30" i="4"/>
  <c r="BP30" i="4"/>
  <c r="BX45" i="4"/>
  <c r="BP45" i="4"/>
  <c r="AD35" i="4"/>
  <c r="AD59" i="4"/>
  <c r="BX67" i="4"/>
  <c r="BX158" i="4"/>
  <c r="AM9" i="4"/>
  <c r="AP9" i="4"/>
  <c r="AS9" i="4"/>
  <c r="AV9" i="4"/>
  <c r="AY9" i="4"/>
  <c r="BB9" i="4"/>
  <c r="AM10" i="4"/>
  <c r="AP10" i="4"/>
  <c r="AS10" i="4"/>
  <c r="AV10" i="4"/>
  <c r="AY10" i="4"/>
  <c r="BB10" i="4"/>
  <c r="AM11" i="4"/>
  <c r="AP11" i="4"/>
  <c r="AS11" i="4"/>
  <c r="AV11" i="4"/>
  <c r="AY11" i="4"/>
  <c r="BB11" i="4"/>
  <c r="AM12" i="4"/>
  <c r="AP12" i="4"/>
  <c r="AS12" i="4"/>
  <c r="AV12" i="4"/>
  <c r="AY12" i="4"/>
  <c r="BB12" i="4"/>
  <c r="AM13" i="4"/>
  <c r="AP13" i="4"/>
  <c r="AS13" i="4"/>
  <c r="AV13" i="4"/>
  <c r="AY13" i="4"/>
  <c r="BB13" i="4"/>
  <c r="AM14" i="4"/>
  <c r="AP14" i="4"/>
  <c r="AS14" i="4"/>
  <c r="AV14" i="4"/>
  <c r="AY14" i="4"/>
  <c r="BB14" i="4"/>
  <c r="AM15" i="4"/>
  <c r="AP15" i="4"/>
  <c r="AS15" i="4"/>
  <c r="AV15" i="4"/>
  <c r="AY15" i="4"/>
  <c r="BB15" i="4"/>
  <c r="AM16" i="4"/>
  <c r="AP16" i="4"/>
  <c r="AS16" i="4"/>
  <c r="AV16" i="4"/>
  <c r="AY16" i="4"/>
  <c r="BB16" i="4"/>
  <c r="AM17" i="4"/>
  <c r="AP17" i="4"/>
  <c r="AS17" i="4"/>
  <c r="AV17" i="4"/>
  <c r="AY17" i="4"/>
  <c r="BB17" i="4"/>
  <c r="AM18" i="4"/>
  <c r="AP18" i="4"/>
  <c r="AS18" i="4"/>
  <c r="AV18" i="4"/>
  <c r="AY18" i="4"/>
  <c r="BB18" i="4"/>
  <c r="AM19" i="4"/>
  <c r="AP19" i="4"/>
  <c r="AS19" i="4"/>
  <c r="AV19" i="4"/>
  <c r="AY19" i="4"/>
  <c r="BB19" i="4"/>
  <c r="AM44" i="4"/>
  <c r="AP44" i="4"/>
  <c r="AS44" i="4"/>
  <c r="AV44" i="4"/>
  <c r="AY44" i="4"/>
  <c r="BB44" i="4"/>
  <c r="BE44" i="4"/>
  <c r="BH44" i="4"/>
  <c r="BK44" i="4"/>
  <c r="AM45" i="4"/>
  <c r="AP45" i="4"/>
  <c r="AS45" i="4"/>
  <c r="AV45" i="4"/>
  <c r="AY45" i="4"/>
  <c r="BB45" i="4"/>
  <c r="BE45" i="4"/>
  <c r="BH45" i="4"/>
  <c r="BK45" i="4"/>
  <c r="AM42" i="4"/>
  <c r="AP42" i="4"/>
  <c r="AS42" i="4"/>
  <c r="AV42" i="4"/>
  <c r="AY42" i="4"/>
  <c r="BB42" i="4"/>
  <c r="BE42" i="4"/>
  <c r="BH42" i="4"/>
  <c r="BK42" i="4"/>
  <c r="AM43" i="4"/>
  <c r="AP43" i="4"/>
  <c r="AS43" i="4"/>
  <c r="AV43" i="4"/>
  <c r="AY43" i="4"/>
  <c r="BB43" i="4"/>
  <c r="BE43" i="4"/>
  <c r="BH43" i="4"/>
  <c r="BK43" i="4"/>
  <c r="AM23" i="4"/>
  <c r="AP23" i="4"/>
  <c r="AS23" i="4"/>
  <c r="AV23" i="4"/>
  <c r="AY23" i="4"/>
  <c r="BB23" i="4"/>
  <c r="BE23" i="4"/>
  <c r="BH23" i="4"/>
  <c r="BK23" i="4"/>
  <c r="AM24" i="4"/>
  <c r="AP24" i="4"/>
  <c r="AS24" i="4"/>
  <c r="AV24" i="4"/>
  <c r="AY24" i="4"/>
  <c r="BB24" i="4"/>
  <c r="BE24" i="4"/>
  <c r="BH24" i="4"/>
  <c r="BK24" i="4"/>
  <c r="AM20" i="4"/>
  <c r="AP20" i="4"/>
  <c r="AS20" i="4"/>
  <c r="AV20" i="4"/>
  <c r="AY20" i="4"/>
  <c r="BB20" i="4"/>
  <c r="BE20" i="4"/>
  <c r="BH20" i="4"/>
  <c r="BK20" i="4"/>
  <c r="AM46" i="4"/>
  <c r="AP46" i="4"/>
  <c r="AS46" i="4"/>
  <c r="AV46" i="4"/>
  <c r="AY46" i="4"/>
  <c r="BB46" i="4"/>
  <c r="BE46" i="4"/>
  <c r="BH46" i="4"/>
  <c r="BK46" i="4"/>
  <c r="AM47" i="4"/>
  <c r="AP47" i="4"/>
  <c r="AS47" i="4"/>
  <c r="AV47" i="4"/>
  <c r="AY47" i="4"/>
  <c r="BB47" i="4"/>
  <c r="BE47" i="4"/>
  <c r="BH47" i="4"/>
  <c r="BK47" i="4"/>
  <c r="AM48" i="4"/>
  <c r="AP48" i="4"/>
  <c r="AS48" i="4"/>
  <c r="AV48" i="4"/>
  <c r="AY48" i="4"/>
  <c r="BB48" i="4"/>
  <c r="BE48" i="4"/>
  <c r="BH48" i="4"/>
  <c r="BK48" i="4"/>
  <c r="AM49" i="4"/>
  <c r="AP49" i="4"/>
  <c r="AS49" i="4"/>
  <c r="AV49" i="4"/>
  <c r="AY49" i="4"/>
  <c r="BB49" i="4"/>
  <c r="BE49" i="4"/>
  <c r="BH49" i="4"/>
  <c r="BK49" i="4"/>
  <c r="AM50" i="4"/>
  <c r="AP50" i="4"/>
  <c r="AS50" i="4"/>
  <c r="AV50" i="4"/>
  <c r="AY50" i="4"/>
  <c r="BB50" i="4"/>
  <c r="BE50" i="4"/>
  <c r="BH50" i="4"/>
  <c r="BK50" i="4"/>
  <c r="AM51" i="4"/>
  <c r="AP51" i="4"/>
  <c r="AS51" i="4"/>
  <c r="AV51" i="4"/>
  <c r="AY51" i="4"/>
  <c r="BB51" i="4"/>
  <c r="BE51" i="4"/>
  <c r="BH51" i="4"/>
  <c r="BK51" i="4"/>
  <c r="AM52" i="4"/>
  <c r="AP52" i="4"/>
  <c r="AS52" i="4"/>
  <c r="AV52" i="4"/>
  <c r="AY52" i="4"/>
  <c r="BB52" i="4"/>
  <c r="BE52" i="4"/>
  <c r="BH52" i="4"/>
  <c r="BK52" i="4"/>
  <c r="AM53" i="4"/>
  <c r="AP53" i="4"/>
  <c r="AS53" i="4"/>
  <c r="AV53" i="4"/>
  <c r="AY53" i="4"/>
  <c r="BB53" i="4"/>
  <c r="BE53" i="4"/>
  <c r="BH53" i="4"/>
  <c r="BK53" i="4"/>
  <c r="AM27" i="4"/>
  <c r="AP27" i="4"/>
  <c r="AS27" i="4"/>
  <c r="AV27" i="4"/>
  <c r="AY27" i="4"/>
  <c r="AM28" i="4"/>
  <c r="AP28" i="4"/>
  <c r="AS28" i="4"/>
  <c r="AV28" i="4"/>
  <c r="AY28" i="4"/>
  <c r="AM29" i="4"/>
  <c r="AP29" i="4"/>
  <c r="AS29" i="4"/>
  <c r="AV29" i="4"/>
  <c r="AY29" i="4"/>
  <c r="AM30" i="4"/>
  <c r="AP30" i="4"/>
  <c r="AS30" i="4"/>
  <c r="AV30" i="4"/>
  <c r="AY30" i="4"/>
  <c r="BB30" i="4"/>
  <c r="BE30" i="4"/>
  <c r="BH30" i="4"/>
  <c r="BK30" i="4"/>
  <c r="AM31" i="4"/>
  <c r="AP31" i="4"/>
  <c r="AS31" i="4"/>
  <c r="AV31" i="4"/>
  <c r="AY31" i="4"/>
  <c r="BB31" i="4"/>
  <c r="BE31" i="4"/>
  <c r="BH31" i="4"/>
  <c r="BK31" i="4"/>
  <c r="AM32" i="4"/>
  <c r="AP32" i="4"/>
  <c r="AS32" i="4"/>
  <c r="AV32" i="4"/>
  <c r="AY32" i="4"/>
  <c r="AM33" i="4"/>
  <c r="AP33" i="4"/>
  <c r="AS33" i="4"/>
  <c r="AV33" i="4"/>
  <c r="AY33" i="4"/>
  <c r="BB33" i="4"/>
  <c r="BE33" i="4"/>
  <c r="BH33" i="4"/>
  <c r="BK33" i="4"/>
  <c r="AM34" i="4"/>
  <c r="AP34" i="4"/>
  <c r="AS34" i="4"/>
  <c r="AV34" i="4"/>
  <c r="AY34" i="4"/>
  <c r="BB34" i="4"/>
  <c r="BE34" i="4"/>
  <c r="BH34" i="4"/>
  <c r="BK34" i="4"/>
  <c r="AM25" i="4"/>
  <c r="AP25" i="4"/>
  <c r="AS25" i="4"/>
  <c r="AV25" i="4"/>
  <c r="AY25" i="4"/>
  <c r="BB25" i="4"/>
  <c r="BE25" i="4"/>
  <c r="BH25" i="4"/>
  <c r="BK25" i="4"/>
  <c r="AM26" i="4"/>
  <c r="AP26" i="4"/>
  <c r="AS26" i="4"/>
  <c r="AV26" i="4"/>
  <c r="AY26" i="4"/>
  <c r="BB26" i="4"/>
  <c r="BE26" i="4"/>
  <c r="BH26" i="4"/>
  <c r="BK26" i="4"/>
  <c r="AM72" i="4"/>
  <c r="AP72" i="4"/>
  <c r="AS72" i="4"/>
  <c r="AV72" i="4"/>
  <c r="AY72" i="4"/>
  <c r="BB72" i="4"/>
  <c r="BE72" i="4"/>
  <c r="BH72" i="4"/>
  <c r="BK72" i="4"/>
  <c r="AM73" i="4"/>
  <c r="AP73" i="4"/>
  <c r="AS73" i="4"/>
  <c r="AV73" i="4"/>
  <c r="AY73" i="4"/>
  <c r="BB73" i="4"/>
  <c r="BE73" i="4"/>
  <c r="BH73" i="4"/>
  <c r="BK73" i="4"/>
  <c r="AM74" i="4"/>
  <c r="AP74" i="4"/>
  <c r="AS74" i="4"/>
  <c r="AV74" i="4"/>
  <c r="AY74" i="4"/>
  <c r="BB74" i="4"/>
  <c r="BE74" i="4"/>
  <c r="BH74" i="4"/>
  <c r="BK74" i="4"/>
  <c r="AM75" i="4"/>
  <c r="AP75" i="4"/>
  <c r="AS75" i="4"/>
  <c r="AV75" i="4"/>
  <c r="AY75" i="4"/>
  <c r="BB75" i="4"/>
  <c r="BE75" i="4"/>
  <c r="BH75" i="4"/>
  <c r="BK75" i="4"/>
  <c r="AM76" i="4"/>
  <c r="AP76" i="4"/>
  <c r="AS76" i="4"/>
  <c r="AV76" i="4"/>
  <c r="AY76" i="4"/>
  <c r="BB76" i="4"/>
  <c r="BE76" i="4"/>
  <c r="BH76" i="4"/>
  <c r="BK76" i="4"/>
  <c r="AM77" i="4"/>
  <c r="AP77" i="4"/>
  <c r="AS77" i="4"/>
  <c r="AV77" i="4"/>
  <c r="AY77" i="4"/>
  <c r="BB77" i="4"/>
  <c r="BE77" i="4"/>
  <c r="BH77" i="4"/>
  <c r="BK77" i="4"/>
  <c r="AM54" i="4"/>
  <c r="AP54" i="4"/>
  <c r="AS54" i="4"/>
  <c r="AV54" i="4"/>
  <c r="AY54" i="4"/>
  <c r="BB54" i="4"/>
  <c r="BE54" i="4"/>
  <c r="BH54" i="4"/>
  <c r="BK54" i="4"/>
  <c r="AM55" i="4"/>
  <c r="AP55" i="4"/>
  <c r="AS55" i="4"/>
  <c r="AV55" i="4"/>
  <c r="AY55" i="4"/>
  <c r="BB55" i="4"/>
  <c r="BE55" i="4"/>
  <c r="BH55" i="4"/>
  <c r="BK55" i="4"/>
  <c r="AM56" i="4"/>
  <c r="AP56" i="4"/>
  <c r="AS56" i="4"/>
  <c r="AV56" i="4"/>
  <c r="AY56" i="4"/>
  <c r="BB56" i="4"/>
  <c r="BE56" i="4"/>
  <c r="BH56" i="4"/>
  <c r="BK56" i="4"/>
  <c r="AM66" i="4"/>
  <c r="AP66" i="4"/>
  <c r="AS66" i="4"/>
  <c r="AV66" i="4"/>
  <c r="AY66" i="4"/>
  <c r="BB66" i="4"/>
  <c r="BE66" i="4"/>
  <c r="AM57" i="4"/>
  <c r="AM58" i="4"/>
  <c r="AP58" i="4"/>
  <c r="AS58" i="4"/>
  <c r="AV58" i="4"/>
  <c r="AY58" i="4"/>
  <c r="BB58" i="4"/>
  <c r="BE58" i="4"/>
  <c r="BH58" i="4"/>
  <c r="BK58" i="4"/>
  <c r="AM67" i="4"/>
  <c r="AM68" i="4"/>
  <c r="AP68" i="4"/>
  <c r="AM86" i="4"/>
  <c r="AP86" i="4"/>
  <c r="AS86" i="4"/>
  <c r="AV86" i="4"/>
  <c r="AY86" i="4"/>
  <c r="BB86" i="4"/>
  <c r="BE86" i="4"/>
  <c r="BH86" i="4"/>
  <c r="BK86" i="4"/>
  <c r="AM87" i="4"/>
  <c r="AP87" i="4"/>
  <c r="AS87" i="4"/>
  <c r="AV87" i="4"/>
  <c r="AY87" i="4"/>
  <c r="BB87" i="4"/>
  <c r="BE87" i="4"/>
  <c r="BH87" i="4"/>
  <c r="BK87" i="4"/>
  <c r="AM114" i="4"/>
  <c r="AP114" i="4"/>
  <c r="AS114" i="4"/>
  <c r="AV114" i="4"/>
  <c r="AY114" i="4"/>
  <c r="BB114" i="4"/>
  <c r="BE114" i="4"/>
  <c r="AM116" i="4"/>
  <c r="AP116" i="4"/>
  <c r="AS116" i="4"/>
  <c r="AV116" i="4"/>
  <c r="AY116" i="4"/>
  <c r="BB116" i="4"/>
  <c r="BE116" i="4"/>
  <c r="AM88" i="4"/>
  <c r="AP88" i="4"/>
  <c r="AS88" i="4"/>
  <c r="AV88" i="4"/>
  <c r="AY88" i="4"/>
  <c r="BB88" i="4"/>
  <c r="BE88" i="4"/>
  <c r="BH88" i="4"/>
  <c r="BK88" i="4"/>
  <c r="AM89" i="4"/>
  <c r="AP89" i="4"/>
  <c r="AS89" i="4"/>
  <c r="AV89" i="4"/>
  <c r="AY89" i="4"/>
  <c r="BB89" i="4"/>
  <c r="BE89" i="4"/>
  <c r="BH89" i="4"/>
  <c r="BK89" i="4"/>
  <c r="AM90" i="4"/>
  <c r="AP90" i="4"/>
  <c r="AS90" i="4"/>
  <c r="AV90" i="4"/>
  <c r="AY90" i="4"/>
  <c r="BB90" i="4"/>
  <c r="BE90" i="4"/>
  <c r="BH90" i="4"/>
  <c r="BK90" i="4"/>
  <c r="AM91" i="4"/>
  <c r="AP91" i="4"/>
  <c r="AS91" i="4"/>
  <c r="AV91" i="4"/>
  <c r="AY91" i="4"/>
  <c r="BB91" i="4"/>
  <c r="BE91" i="4"/>
  <c r="AM92" i="4"/>
  <c r="AP92" i="4"/>
  <c r="AS92" i="4"/>
  <c r="AV92" i="4"/>
  <c r="AY92" i="4"/>
  <c r="BB92" i="4"/>
  <c r="BE92" i="4"/>
  <c r="AM94" i="4"/>
  <c r="AP94" i="4"/>
  <c r="AS94" i="4"/>
  <c r="AV94" i="4"/>
  <c r="AY94" i="4"/>
  <c r="BB94" i="4"/>
  <c r="BE94" i="4"/>
  <c r="BH94" i="4"/>
  <c r="BK94" i="4"/>
  <c r="AM95" i="4"/>
  <c r="AP95" i="4"/>
  <c r="AS95" i="4"/>
  <c r="AV95" i="4"/>
  <c r="AY95" i="4"/>
  <c r="BB95" i="4"/>
  <c r="BE95" i="4"/>
  <c r="BH95" i="4"/>
  <c r="BK95" i="4"/>
  <c r="AM96" i="4"/>
  <c r="AP96" i="4"/>
  <c r="AS96" i="4"/>
  <c r="AV96" i="4"/>
  <c r="AY96" i="4"/>
  <c r="BB96" i="4"/>
  <c r="BE96" i="4"/>
  <c r="BH96" i="4"/>
  <c r="BK96" i="4"/>
  <c r="AM97" i="4"/>
  <c r="AP97" i="4"/>
  <c r="AS97" i="4"/>
  <c r="AV97" i="4"/>
  <c r="AY97" i="4"/>
  <c r="BB97" i="4"/>
  <c r="BE97" i="4"/>
  <c r="BH97" i="4"/>
  <c r="BK97" i="4"/>
  <c r="AM112" i="4"/>
  <c r="AP112" i="4"/>
  <c r="AS112" i="4"/>
  <c r="AV112" i="4"/>
  <c r="AM100" i="4"/>
  <c r="AP100" i="4"/>
  <c r="AS100" i="4"/>
  <c r="AV100" i="4"/>
  <c r="AY100" i="4"/>
  <c r="BB100" i="4"/>
  <c r="BE100" i="4"/>
  <c r="BH100" i="4"/>
  <c r="BK100" i="4"/>
  <c r="AM82" i="4"/>
  <c r="AP82" i="4"/>
  <c r="AS82" i="4"/>
  <c r="AV82" i="4"/>
  <c r="AY82" i="4"/>
  <c r="BB82" i="4"/>
  <c r="BE82" i="4"/>
  <c r="BH82" i="4"/>
  <c r="BK82" i="4"/>
  <c r="AM83" i="4"/>
  <c r="AP83" i="4"/>
  <c r="AS83" i="4"/>
  <c r="AV83" i="4"/>
  <c r="AY83" i="4"/>
  <c r="BB83" i="4"/>
  <c r="BE83" i="4"/>
  <c r="BH83" i="4"/>
  <c r="BK83" i="4"/>
  <c r="AM65" i="4"/>
  <c r="AP65" i="4"/>
  <c r="AS65" i="4"/>
  <c r="AV65" i="4"/>
  <c r="AY65" i="4"/>
  <c r="BB65" i="4"/>
  <c r="BE65" i="4"/>
  <c r="BH65" i="4"/>
  <c r="BK65" i="4"/>
  <c r="AM84" i="4"/>
  <c r="AP84" i="4"/>
  <c r="AS84" i="4"/>
  <c r="AV84" i="4"/>
  <c r="AY84" i="4"/>
  <c r="BB84" i="4"/>
  <c r="BE84" i="4"/>
  <c r="BH84" i="4"/>
  <c r="BK84" i="4"/>
  <c r="AM85" i="4"/>
  <c r="AP85" i="4"/>
  <c r="AS85" i="4"/>
  <c r="AV85" i="4"/>
  <c r="AM101" i="4"/>
  <c r="AP101" i="4"/>
  <c r="AS101" i="4"/>
  <c r="AV101" i="4"/>
  <c r="AY101" i="4"/>
  <c r="BB101" i="4"/>
  <c r="BE101" i="4"/>
  <c r="BH101" i="4"/>
  <c r="BK101" i="4"/>
  <c r="AM102" i="4"/>
  <c r="AP102" i="4"/>
  <c r="AS102" i="4"/>
  <c r="AV102" i="4"/>
  <c r="AY102" i="4"/>
  <c r="BB102" i="4"/>
  <c r="BE102" i="4"/>
  <c r="BH102" i="4"/>
  <c r="BK102" i="4"/>
  <c r="AM103" i="4"/>
  <c r="AP103" i="4"/>
  <c r="AS103" i="4"/>
  <c r="AV103" i="4"/>
  <c r="AY103" i="4"/>
  <c r="BB103" i="4"/>
  <c r="BE103" i="4"/>
  <c r="BH103" i="4"/>
  <c r="BK103" i="4"/>
  <c r="AM104" i="4"/>
  <c r="AP104" i="4"/>
  <c r="AS104" i="4"/>
  <c r="AV104" i="4"/>
  <c r="AY104" i="4"/>
  <c r="BB104" i="4"/>
  <c r="BE104" i="4"/>
  <c r="BH104" i="4"/>
  <c r="BK104" i="4"/>
  <c r="AM105" i="4"/>
  <c r="AP105" i="4"/>
  <c r="AS105" i="4"/>
  <c r="AV105" i="4"/>
  <c r="AY105" i="4"/>
  <c r="BB105" i="4"/>
  <c r="BE105" i="4"/>
  <c r="BH105" i="4"/>
  <c r="BK105" i="4"/>
  <c r="AM106" i="4"/>
  <c r="AP106" i="4"/>
  <c r="AS106" i="4"/>
  <c r="AV106" i="4"/>
  <c r="AY106" i="4"/>
  <c r="BB106" i="4"/>
  <c r="BE106" i="4"/>
  <c r="BH106" i="4"/>
  <c r="BK106" i="4"/>
  <c r="AM107" i="4"/>
  <c r="AP107" i="4"/>
  <c r="AS107" i="4"/>
  <c r="AV107" i="4"/>
  <c r="AY107" i="4"/>
  <c r="BB107" i="4"/>
  <c r="BE107" i="4"/>
  <c r="BH107" i="4"/>
  <c r="BK107" i="4"/>
  <c r="AM61" i="4"/>
  <c r="AP61" i="4"/>
  <c r="AS61" i="4"/>
  <c r="AV61" i="4"/>
  <c r="AY61" i="4"/>
  <c r="BB61" i="4"/>
  <c r="BE61" i="4"/>
  <c r="BH61" i="4"/>
  <c r="BK61" i="4"/>
  <c r="AM62" i="4"/>
  <c r="AP62" i="4"/>
  <c r="AS62" i="4"/>
  <c r="AV62" i="4"/>
  <c r="AY62" i="4"/>
  <c r="BB62" i="4"/>
  <c r="BE62" i="4"/>
  <c r="BH62" i="4"/>
  <c r="BK62" i="4"/>
  <c r="AM63" i="4"/>
  <c r="AP63" i="4"/>
  <c r="AS63" i="4"/>
  <c r="AV63" i="4"/>
  <c r="AY63" i="4"/>
  <c r="BB63" i="4"/>
  <c r="BE63" i="4"/>
  <c r="BH63" i="4"/>
  <c r="BK63" i="4"/>
  <c r="AM110" i="4"/>
  <c r="AP110" i="4"/>
  <c r="AS110" i="4"/>
  <c r="AV110" i="4"/>
  <c r="AY110" i="4"/>
  <c r="BB110" i="4"/>
  <c r="BE110" i="4"/>
  <c r="BH110" i="4"/>
  <c r="BK110" i="4"/>
  <c r="AM64" i="4"/>
  <c r="AP64" i="4"/>
  <c r="AS64" i="4"/>
  <c r="AV64" i="4"/>
  <c r="AY64" i="4"/>
  <c r="BB64" i="4"/>
  <c r="BE64" i="4"/>
  <c r="BH64" i="4"/>
  <c r="BK64" i="4"/>
  <c r="AM117" i="4"/>
  <c r="AP117" i="4"/>
  <c r="AS117" i="4"/>
  <c r="AV117" i="4"/>
  <c r="AY117" i="4"/>
  <c r="BB117" i="4"/>
  <c r="BE117" i="4"/>
  <c r="AM120" i="4"/>
  <c r="AP120" i="4"/>
  <c r="AS120" i="4"/>
  <c r="AV120" i="4"/>
  <c r="AY120" i="4"/>
  <c r="BB120" i="4"/>
  <c r="BE120" i="4"/>
  <c r="AM121" i="4"/>
  <c r="AP121" i="4"/>
  <c r="AS121" i="4"/>
  <c r="AV121" i="4"/>
  <c r="AY121" i="4"/>
  <c r="BB121" i="4"/>
  <c r="BE121" i="4"/>
  <c r="AM122" i="4"/>
  <c r="AP122" i="4"/>
  <c r="AS122" i="4"/>
  <c r="AV122" i="4"/>
  <c r="AY122" i="4"/>
  <c r="BB122" i="4"/>
  <c r="BE122" i="4"/>
  <c r="AM124" i="4"/>
  <c r="AP124" i="4"/>
  <c r="AS124" i="4"/>
  <c r="AV124" i="4"/>
  <c r="AY124" i="4"/>
  <c r="BB124" i="4"/>
  <c r="BE124" i="4"/>
  <c r="AM111" i="4"/>
  <c r="AM125" i="4"/>
  <c r="AP125" i="4"/>
  <c r="AS125" i="4"/>
  <c r="AV125" i="4"/>
  <c r="AY125" i="4"/>
  <c r="BB125" i="4"/>
  <c r="BE125" i="4"/>
  <c r="BH125" i="4"/>
  <c r="BK125" i="4"/>
  <c r="AM126" i="4"/>
  <c r="AP126" i="4"/>
  <c r="AS126" i="4"/>
  <c r="AV126" i="4"/>
  <c r="AY126" i="4"/>
  <c r="BB126" i="4"/>
  <c r="BE126" i="4"/>
  <c r="BH126" i="4"/>
  <c r="BK126" i="4"/>
  <c r="AM127" i="4"/>
  <c r="AP127" i="4"/>
  <c r="AS127" i="4"/>
  <c r="AV127" i="4"/>
  <c r="AY127" i="4"/>
  <c r="BB127" i="4"/>
  <c r="BE127" i="4"/>
  <c r="BH127" i="4"/>
  <c r="BK127" i="4"/>
  <c r="AM128" i="4"/>
  <c r="AP128" i="4"/>
  <c r="AS128" i="4"/>
  <c r="AV128" i="4"/>
  <c r="AY128" i="4"/>
  <c r="BB128" i="4"/>
  <c r="BE128" i="4"/>
  <c r="BH128" i="4"/>
  <c r="BK128" i="4"/>
  <c r="AM136" i="4"/>
  <c r="AP136" i="4"/>
  <c r="AS136" i="4"/>
  <c r="AV136" i="4"/>
  <c r="AY136" i="4"/>
  <c r="BB136" i="4"/>
  <c r="BE136" i="4"/>
  <c r="BH136" i="4"/>
  <c r="BK136" i="4"/>
  <c r="AM137" i="4"/>
  <c r="AP137" i="4"/>
  <c r="AS137" i="4"/>
  <c r="AV137" i="4"/>
  <c r="AY137" i="4"/>
  <c r="BB137" i="4"/>
  <c r="BE137" i="4"/>
  <c r="BH137" i="4"/>
  <c r="BK137" i="4"/>
  <c r="AM139" i="4"/>
  <c r="AP139" i="4"/>
  <c r="AS139" i="4"/>
  <c r="AV139" i="4"/>
  <c r="AY139" i="4"/>
  <c r="BB139" i="4"/>
  <c r="BE139" i="4"/>
  <c r="AM143" i="4"/>
  <c r="AP143" i="4"/>
  <c r="AS143" i="4"/>
  <c r="AV143" i="4"/>
  <c r="AY143" i="4"/>
  <c r="BB143" i="4"/>
  <c r="BE143" i="4"/>
  <c r="BH143" i="4"/>
  <c r="BK143" i="4"/>
  <c r="AM144" i="4"/>
  <c r="AP144" i="4"/>
  <c r="AS144" i="4"/>
  <c r="AV144" i="4"/>
  <c r="AY144" i="4"/>
  <c r="BB144" i="4"/>
  <c r="BE144" i="4"/>
  <c r="BH144" i="4"/>
  <c r="BK144" i="4"/>
  <c r="AM145" i="4"/>
  <c r="AP145" i="4"/>
  <c r="AS145" i="4"/>
  <c r="AV145" i="4"/>
  <c r="AY145" i="4"/>
  <c r="BB145" i="4"/>
  <c r="BE145" i="4"/>
  <c r="BH145" i="4"/>
  <c r="BK145" i="4"/>
  <c r="AM146" i="4"/>
  <c r="AP146" i="4"/>
  <c r="AS146" i="4"/>
  <c r="AV146" i="4"/>
  <c r="AY146" i="4"/>
  <c r="BB146" i="4"/>
  <c r="BE146" i="4"/>
  <c r="BH146" i="4"/>
  <c r="BK146" i="4"/>
  <c r="AM147" i="4"/>
  <c r="AP147" i="4"/>
  <c r="AS147" i="4"/>
  <c r="AV147" i="4"/>
  <c r="AY147" i="4"/>
  <c r="BB147" i="4"/>
  <c r="BE147" i="4"/>
  <c r="BH147" i="4"/>
  <c r="BK147" i="4"/>
  <c r="AM148" i="4"/>
  <c r="AP148" i="4"/>
  <c r="AS148" i="4"/>
  <c r="AV148" i="4"/>
  <c r="AY148" i="4"/>
  <c r="BB148" i="4"/>
  <c r="BE148" i="4"/>
  <c r="BH148" i="4"/>
  <c r="BK148" i="4"/>
  <c r="AM149" i="4"/>
  <c r="AP149" i="4"/>
  <c r="AS149" i="4"/>
  <c r="AV149" i="4"/>
  <c r="AY149" i="4"/>
  <c r="BB149" i="4"/>
  <c r="BE149" i="4"/>
  <c r="BH149" i="4"/>
  <c r="BK149" i="4"/>
  <c r="AM150" i="4"/>
  <c r="AP150" i="4"/>
  <c r="AS150" i="4"/>
  <c r="AV150" i="4"/>
  <c r="AY150" i="4"/>
  <c r="BB150" i="4"/>
  <c r="BE150" i="4"/>
  <c r="BH150" i="4"/>
  <c r="BK150" i="4"/>
  <c r="AM152" i="4"/>
  <c r="AP152" i="4"/>
  <c r="AS152" i="4"/>
  <c r="AV152" i="4"/>
  <c r="AY152" i="4"/>
  <c r="BB152" i="4"/>
  <c r="BE152" i="4"/>
  <c r="BH152" i="4"/>
  <c r="BK152" i="4"/>
  <c r="AM155" i="4"/>
  <c r="AP155" i="4"/>
  <c r="AS155" i="4"/>
  <c r="AV155" i="4"/>
  <c r="AY155" i="4"/>
  <c r="BB155" i="4"/>
  <c r="BE155" i="4"/>
  <c r="BH155" i="4"/>
  <c r="BK155" i="4"/>
  <c r="AM156" i="4"/>
  <c r="AP156" i="4"/>
  <c r="AS156" i="4"/>
  <c r="AV156" i="4"/>
  <c r="AY156" i="4"/>
  <c r="BB156" i="4"/>
  <c r="BE156" i="4"/>
  <c r="BH156" i="4"/>
  <c r="BK156" i="4"/>
  <c r="AM157" i="4"/>
  <c r="AP157" i="4"/>
  <c r="AS157" i="4"/>
  <c r="AV157" i="4"/>
  <c r="AY157" i="4"/>
  <c r="AM151" i="4"/>
  <c r="AP151" i="4"/>
  <c r="AS151" i="4"/>
  <c r="AV151" i="4"/>
  <c r="AY151" i="4"/>
  <c r="BB151" i="4"/>
  <c r="BE151" i="4"/>
  <c r="BH151" i="4"/>
  <c r="BK151" i="4"/>
  <c r="AM134" i="4"/>
  <c r="AP134" i="4"/>
  <c r="AS134" i="4"/>
  <c r="AV134" i="4"/>
  <c r="AY134" i="4"/>
  <c r="BB134" i="4"/>
  <c r="BE134" i="4"/>
  <c r="BH134" i="4"/>
  <c r="BK134" i="4"/>
  <c r="AM8" i="4"/>
  <c r="BH120" i="4"/>
  <c r="BK120" i="4"/>
  <c r="AG120" i="4"/>
  <c r="AH120" i="4"/>
  <c r="BH117" i="4"/>
  <c r="BK117" i="4"/>
  <c r="AG117" i="4"/>
  <c r="AH117" i="4"/>
  <c r="BH92" i="4"/>
  <c r="BK92" i="4"/>
  <c r="AG92" i="4"/>
  <c r="AH92" i="4"/>
  <c r="BH91" i="4"/>
  <c r="BK91" i="4"/>
  <c r="AG91" i="4"/>
  <c r="AH91" i="4"/>
  <c r="BH116" i="4"/>
  <c r="BK116" i="4"/>
  <c r="AG116" i="4"/>
  <c r="AH116" i="4"/>
  <c r="BH114" i="4"/>
  <c r="BK114" i="4"/>
  <c r="AG114" i="4"/>
  <c r="AH114" i="4"/>
  <c r="BH124" i="4"/>
  <c r="BK124" i="4"/>
  <c r="AG124" i="4"/>
  <c r="AH124" i="4"/>
  <c r="BH139" i="4"/>
  <c r="BK139" i="4"/>
  <c r="AG139" i="4"/>
  <c r="AH139" i="4"/>
  <c r="BH66" i="4"/>
  <c r="BK66" i="4"/>
  <c r="AG66" i="4"/>
  <c r="BH122" i="4"/>
  <c r="BK122" i="4"/>
  <c r="AG122" i="4"/>
  <c r="AH122" i="4"/>
  <c r="BH121" i="4"/>
  <c r="BK121" i="4"/>
  <c r="AG121" i="4"/>
  <c r="AH121" i="4"/>
  <c r="BE19" i="4"/>
  <c r="BE18" i="4"/>
  <c r="BE17" i="4"/>
  <c r="BE14" i="4"/>
  <c r="BE16" i="4"/>
  <c r="BE15" i="4"/>
  <c r="BE13" i="4"/>
  <c r="BE12" i="4"/>
  <c r="BE11" i="4"/>
  <c r="BE10" i="4"/>
  <c r="BE9" i="4"/>
  <c r="AH105" i="4"/>
  <c r="AH103" i="4"/>
  <c r="AH94" i="4"/>
  <c r="BB157" i="4"/>
  <c r="AH101" i="4"/>
  <c r="AH100" i="4"/>
  <c r="AH97" i="4"/>
  <c r="AP8" i="4"/>
  <c r="AH145" i="4"/>
  <c r="AH95" i="4"/>
  <c r="AH143" i="4"/>
  <c r="AH102" i="4"/>
  <c r="AH107" i="4"/>
  <c r="AH106" i="4"/>
  <c r="AH144" i="4"/>
  <c r="AH151" i="4"/>
  <c r="AH146" i="4"/>
  <c r="AH126" i="4"/>
  <c r="AH127" i="4"/>
  <c r="AH90" i="4"/>
  <c r="AH61" i="4"/>
  <c r="AH76" i="4"/>
  <c r="AH23" i="4"/>
  <c r="AH72" i="4"/>
  <c r="AH64" i="4"/>
  <c r="AH56" i="4"/>
  <c r="AH48" i="4"/>
  <c r="AH63" i="4"/>
  <c r="AH47" i="4"/>
  <c r="AH62" i="4"/>
  <c r="AH54" i="4"/>
  <c r="AH77" i="4"/>
  <c r="AH28" i="4"/>
  <c r="AH74" i="4"/>
  <c r="AH73" i="4"/>
  <c r="AH58" i="4"/>
  <c r="AH26" i="4"/>
  <c r="AH83" i="4"/>
  <c r="AH29" i="4"/>
  <c r="AH25" i="4"/>
  <c r="AH20" i="4"/>
  <c r="E15" i="11"/>
  <c r="AH125" i="4"/>
  <c r="AH110" i="4"/>
  <c r="AH46" i="4"/>
  <c r="AH155" i="4"/>
  <c r="AY112" i="4"/>
  <c r="AY85" i="4"/>
  <c r="AH89" i="4"/>
  <c r="AP111" i="4"/>
  <c r="AS111" i="4"/>
  <c r="AV111" i="4"/>
  <c r="AY111" i="4"/>
  <c r="BB111" i="4"/>
  <c r="BE111" i="4"/>
  <c r="BH111" i="4"/>
  <c r="BK111" i="4"/>
  <c r="AP57" i="4"/>
  <c r="AS57" i="4"/>
  <c r="AV57" i="4"/>
  <c r="AY57" i="4"/>
  <c r="BB57" i="4"/>
  <c r="BE57" i="4"/>
  <c r="BH57" i="4"/>
  <c r="BK57" i="4"/>
  <c r="BH18" i="4"/>
  <c r="BK18" i="4"/>
  <c r="AE18" i="4"/>
  <c r="BH19" i="4"/>
  <c r="BK19" i="4"/>
  <c r="AE19" i="4"/>
  <c r="BH9" i="4"/>
  <c r="BK9" i="4"/>
  <c r="AE9" i="4"/>
  <c r="BH10" i="4"/>
  <c r="BH11" i="4"/>
  <c r="BK11" i="4"/>
  <c r="AE11" i="4"/>
  <c r="BH12" i="4"/>
  <c r="BK12" i="4"/>
  <c r="AE12" i="4"/>
  <c r="BH13" i="4"/>
  <c r="BK13" i="4"/>
  <c r="AE13" i="4"/>
  <c r="BH15" i="4"/>
  <c r="BK15" i="4"/>
  <c r="AE15" i="4"/>
  <c r="BH16" i="4"/>
  <c r="BK16" i="4"/>
  <c r="AE16" i="4"/>
  <c r="BH14" i="4"/>
  <c r="BK14" i="4"/>
  <c r="AE14" i="4"/>
  <c r="BH17" i="4"/>
  <c r="BE157" i="4"/>
  <c r="E26" i="11"/>
  <c r="AH111" i="4"/>
  <c r="K17" i="11"/>
  <c r="AS8" i="4"/>
  <c r="AH156" i="4"/>
  <c r="G16" i="11"/>
  <c r="AH33" i="4"/>
  <c r="E16" i="11"/>
  <c r="AH50" i="4"/>
  <c r="AH66" i="4"/>
  <c r="AH30" i="4"/>
  <c r="AH52" i="4"/>
  <c r="AH34" i="4"/>
  <c r="AH43" i="4"/>
  <c r="AH57" i="4"/>
  <c r="K15" i="11"/>
  <c r="AH42" i="4"/>
  <c r="AH45" i="4"/>
  <c r="AH84" i="4"/>
  <c r="AH51" i="4"/>
  <c r="AH31" i="4"/>
  <c r="AH49" i="4"/>
  <c r="AH53" i="4"/>
  <c r="AH32" i="4"/>
  <c r="AH75" i="4"/>
  <c r="AH24" i="4"/>
  <c r="AH55" i="4"/>
  <c r="AH82" i="4"/>
  <c r="G18" i="11"/>
  <c r="E17" i="11"/>
  <c r="AH152" i="4"/>
  <c r="BB85" i="4"/>
  <c r="BE85" i="4"/>
  <c r="BH85" i="4"/>
  <c r="BK85" i="4"/>
  <c r="BB112" i="4"/>
  <c r="BE112" i="4"/>
  <c r="BK10" i="4"/>
  <c r="AE10" i="4"/>
  <c r="BK17" i="4"/>
  <c r="AE17" i="4"/>
  <c r="AF14" i="4"/>
  <c r="AG14" i="4"/>
  <c r="AF16" i="4"/>
  <c r="AG16" i="4"/>
  <c r="AF15" i="4"/>
  <c r="AG15" i="4"/>
  <c r="AG13" i="4"/>
  <c r="AF13" i="4"/>
  <c r="AF12" i="4"/>
  <c r="AG12" i="4"/>
  <c r="AF11" i="4"/>
  <c r="AG11" i="4"/>
  <c r="AG9" i="4"/>
  <c r="AF9" i="4"/>
  <c r="AF19" i="4"/>
  <c r="AG19" i="4"/>
  <c r="AG18" i="4"/>
  <c r="AF18" i="4"/>
  <c r="BH157" i="4"/>
  <c r="BK157" i="4"/>
  <c r="AG157" i="4"/>
  <c r="AH157" i="4"/>
  <c r="BH112" i="4"/>
  <c r="BK112" i="4"/>
  <c r="AG112" i="4"/>
  <c r="AH112" i="4"/>
  <c r="AV8" i="4"/>
  <c r="AH44" i="4"/>
  <c r="AH27" i="4"/>
  <c r="BP85" i="4"/>
  <c r="BP158" i="4"/>
  <c r="AQ68" i="4"/>
  <c r="AQ158" i="4"/>
  <c r="AD67" i="4"/>
  <c r="AD68" i="4"/>
  <c r="AF10" i="4"/>
  <c r="AG10" i="4"/>
  <c r="AH9" i="4"/>
  <c r="AG17" i="4"/>
  <c r="AF17" i="4"/>
  <c r="AE158" i="4"/>
  <c r="AH18" i="4"/>
  <c r="AH13" i="4"/>
  <c r="AH14" i="4"/>
  <c r="AH15" i="4"/>
  <c r="AH11" i="4"/>
  <c r="K26" i="11"/>
  <c r="AH12" i="4"/>
  <c r="AH19" i="4"/>
  <c r="AH16" i="4"/>
  <c r="D13" i="31"/>
  <c r="E13" i="31"/>
  <c r="D17" i="31"/>
  <c r="AY8" i="4"/>
  <c r="AS68" i="4"/>
  <c r="AV68" i="4"/>
  <c r="AY68" i="4"/>
  <c r="AH85" i="4"/>
  <c r="AH65" i="4"/>
  <c r="CD58" i="4"/>
  <c r="AH10" i="4"/>
  <c r="AF158" i="4"/>
  <c r="AH17" i="4"/>
  <c r="BB8" i="4"/>
  <c r="AH68" i="4"/>
  <c r="CD158" i="4"/>
  <c r="BE8" i="4"/>
  <c r="E13" i="11"/>
  <c r="BH8" i="4"/>
  <c r="K16" i="11"/>
  <c r="AN67" i="4"/>
  <c r="AN158" i="4"/>
  <c r="BK8" i="4"/>
  <c r="K13" i="11"/>
  <c r="M38" i="11"/>
  <c r="AP67" i="4"/>
  <c r="AS67" i="4"/>
  <c r="AV67" i="4"/>
  <c r="AY67" i="4"/>
  <c r="AD64" i="4"/>
  <c r="AD110" i="4"/>
  <c r="AD63" i="4"/>
  <c r="AD62" i="4"/>
  <c r="AD61" i="4"/>
  <c r="AD111" i="4"/>
  <c r="AD107" i="4"/>
  <c r="AD106" i="4"/>
  <c r="AD105" i="4"/>
  <c r="AD104" i="4"/>
  <c r="AD103" i="4"/>
  <c r="AD102" i="4"/>
  <c r="AD101" i="4"/>
  <c r="N32" i="11"/>
  <c r="BB67" i="4"/>
  <c r="BE67" i="4"/>
  <c r="BH67" i="4"/>
  <c r="BK67" i="4"/>
  <c r="E18" i="11"/>
  <c r="K18" i="11"/>
  <c r="AH67" i="4"/>
  <c r="CP157" i="4"/>
  <c r="CP156" i="4"/>
  <c r="CP155" i="4"/>
  <c r="CP154" i="4"/>
  <c r="CP152" i="4"/>
  <c r="CP150" i="4"/>
  <c r="CP149" i="4"/>
  <c r="CP148" i="4"/>
  <c r="CP147" i="4"/>
  <c r="CP146" i="4"/>
  <c r="CP145" i="4"/>
  <c r="CP144" i="4"/>
  <c r="CP143" i="4"/>
  <c r="CP139" i="4"/>
  <c r="CP138" i="4"/>
  <c r="CP137" i="4"/>
  <c r="CP136" i="4"/>
  <c r="CP128" i="4"/>
  <c r="CP127" i="4"/>
  <c r="CP126" i="4"/>
  <c r="CP125" i="4"/>
  <c r="CP124" i="4"/>
  <c r="CP122" i="4"/>
  <c r="CP121" i="4"/>
  <c r="CP120" i="4"/>
  <c r="CP119" i="4"/>
  <c r="CP118" i="4"/>
  <c r="CP117" i="4"/>
  <c r="CP112" i="4"/>
  <c r="CP98" i="4"/>
  <c r="CP97" i="4"/>
  <c r="CP96" i="4"/>
  <c r="CP95" i="4"/>
  <c r="CP94" i="4"/>
  <c r="CP92" i="4"/>
  <c r="CP91" i="4"/>
  <c r="CP90" i="4"/>
  <c r="CP89" i="4"/>
  <c r="CP88" i="4"/>
  <c r="CP116" i="4"/>
  <c r="CP115" i="4"/>
  <c r="CP114" i="4"/>
  <c r="CP113" i="4"/>
  <c r="CP87" i="4"/>
  <c r="CP86" i="4"/>
  <c r="CP66" i="4"/>
  <c r="CP58" i="4"/>
  <c r="CP56" i="4"/>
  <c r="CP55" i="4"/>
  <c r="CP54" i="4"/>
  <c r="CP77" i="4"/>
  <c r="CP76" i="4"/>
  <c r="CP67" i="4"/>
  <c r="CP75" i="4"/>
  <c r="CP74" i="4"/>
  <c r="CP73" i="4"/>
  <c r="CP72" i="4"/>
  <c r="CP48" i="4"/>
  <c r="CP46" i="4"/>
  <c r="CP20" i="4"/>
  <c r="AD135" i="4"/>
  <c r="Z135" i="4"/>
  <c r="AM135" i="4"/>
  <c r="AD134" i="4"/>
  <c r="AD151" i="4"/>
  <c r="AD157" i="4"/>
  <c r="AD156" i="4"/>
  <c r="AD155" i="4"/>
  <c r="AD154" i="4"/>
  <c r="Z154" i="4"/>
  <c r="AM154" i="4"/>
  <c r="AP154" i="4"/>
  <c r="AS154" i="4"/>
  <c r="AV154" i="4"/>
  <c r="AD152" i="4"/>
  <c r="AD150" i="4"/>
  <c r="AD149" i="4"/>
  <c r="AD148" i="4"/>
  <c r="AD147" i="4"/>
  <c r="AD146" i="4"/>
  <c r="AD145" i="4"/>
  <c r="AD144" i="4"/>
  <c r="AD143" i="4"/>
  <c r="AD138" i="4"/>
  <c r="Z138" i="4"/>
  <c r="AM138" i="4"/>
  <c r="AP138" i="4"/>
  <c r="AS138" i="4"/>
  <c r="AV138" i="4"/>
  <c r="AD137" i="4"/>
  <c r="AD136" i="4"/>
  <c r="AD127" i="4"/>
  <c r="AD126" i="4"/>
  <c r="AD125" i="4"/>
  <c r="AD124" i="4"/>
  <c r="AD122" i="4"/>
  <c r="AD121" i="4"/>
  <c r="AD120" i="4"/>
  <c r="AD119" i="4"/>
  <c r="Z119" i="4"/>
  <c r="AM119" i="4"/>
  <c r="AP119" i="4"/>
  <c r="AS119" i="4"/>
  <c r="AV119" i="4"/>
  <c r="AY119" i="4"/>
  <c r="BB119" i="4"/>
  <c r="BE119" i="4"/>
  <c r="BH119" i="4"/>
  <c r="BK119" i="4"/>
  <c r="AD118" i="4"/>
  <c r="Z118" i="4"/>
  <c r="AM118" i="4"/>
  <c r="AP118" i="4"/>
  <c r="AS118" i="4"/>
  <c r="AV118" i="4"/>
  <c r="AY118" i="4"/>
  <c r="BB118" i="4"/>
  <c r="BE118" i="4"/>
  <c r="BH118" i="4"/>
  <c r="BK118" i="4"/>
  <c r="AD117" i="4"/>
  <c r="AD85" i="4"/>
  <c r="AD84" i="4"/>
  <c r="AD83" i="4"/>
  <c r="AD82" i="4"/>
  <c r="AD112" i="4"/>
  <c r="AD98" i="4"/>
  <c r="Z98" i="4"/>
  <c r="AM98" i="4"/>
  <c r="AP98" i="4"/>
  <c r="AS98" i="4"/>
  <c r="AV98" i="4"/>
  <c r="AY98" i="4"/>
  <c r="BB98" i="4"/>
  <c r="BE98" i="4"/>
  <c r="BH98" i="4"/>
  <c r="BK98" i="4"/>
  <c r="AD97" i="4"/>
  <c r="AD96" i="4"/>
  <c r="AD95" i="4"/>
  <c r="AD94" i="4"/>
  <c r="AD90" i="4"/>
  <c r="AD89" i="4"/>
  <c r="AD88" i="4"/>
  <c r="AD116" i="4"/>
  <c r="AD115" i="4"/>
  <c r="Z115" i="4"/>
  <c r="AM115" i="4"/>
  <c r="AP115" i="4"/>
  <c r="AS115" i="4"/>
  <c r="AV115" i="4"/>
  <c r="AY115" i="4"/>
  <c r="BB115" i="4"/>
  <c r="BE115" i="4"/>
  <c r="AD114" i="4"/>
  <c r="AD113" i="4"/>
  <c r="Z113" i="4"/>
  <c r="AM113" i="4"/>
  <c r="AP113" i="4"/>
  <c r="AS113" i="4"/>
  <c r="AV113" i="4"/>
  <c r="AY113" i="4"/>
  <c r="BB113" i="4"/>
  <c r="AD87" i="4"/>
  <c r="AD86" i="4"/>
  <c r="AD58" i="4"/>
  <c r="AD57" i="4"/>
  <c r="AD66" i="4"/>
  <c r="AD56" i="4"/>
  <c r="AD55" i="4"/>
  <c r="AD54" i="4"/>
  <c r="AD77" i="4"/>
  <c r="AD76" i="4"/>
  <c r="AD75" i="4"/>
  <c r="AD74" i="4"/>
  <c r="AD73" i="4"/>
  <c r="AD72" i="4"/>
  <c r="AD26" i="4"/>
  <c r="AD25" i="4"/>
  <c r="AA34" i="4"/>
  <c r="AD34" i="4"/>
  <c r="AA33" i="4"/>
  <c r="AD33" i="4"/>
  <c r="AA32" i="4"/>
  <c r="AD32" i="4"/>
  <c r="AA31" i="4"/>
  <c r="AD31" i="4"/>
  <c r="AA30" i="4"/>
  <c r="AD30" i="4"/>
  <c r="AD29" i="4"/>
  <c r="AD28" i="4"/>
  <c r="AA27" i="4"/>
  <c r="AD27" i="4"/>
  <c r="AA53" i="4"/>
  <c r="AD53" i="4"/>
  <c r="AA52" i="4"/>
  <c r="AD52" i="4"/>
  <c r="AA51" i="4"/>
  <c r="AD51" i="4"/>
  <c r="AD50" i="4"/>
  <c r="AD49" i="4"/>
  <c r="AD48" i="4"/>
  <c r="AD47" i="4"/>
  <c r="AD46" i="4"/>
  <c r="AD21" i="4"/>
  <c r="Z21" i="4"/>
  <c r="AM21" i="4"/>
  <c r="AD20" i="4"/>
  <c r="AD24" i="4"/>
  <c r="AD23" i="4"/>
  <c r="AD43" i="4"/>
  <c r="AD42" i="4"/>
  <c r="AD45" i="4"/>
  <c r="AD44" i="4"/>
  <c r="AD19" i="4"/>
  <c r="AD18" i="4"/>
  <c r="AD17" i="4"/>
  <c r="AD16" i="4"/>
  <c r="AD15" i="4"/>
  <c r="AD14" i="4"/>
  <c r="AD13" i="4"/>
  <c r="AD12" i="4"/>
  <c r="AD11" i="4"/>
  <c r="AD10" i="4"/>
  <c r="AD9" i="4"/>
  <c r="AD8" i="4"/>
  <c r="BH115" i="4"/>
  <c r="BK115" i="4"/>
  <c r="AG115" i="4"/>
  <c r="AH115" i="4"/>
  <c r="AM158" i="4"/>
  <c r="BE113" i="4"/>
  <c r="BH113" i="4"/>
  <c r="BK113" i="4"/>
  <c r="AP21" i="4"/>
  <c r="AH119" i="4"/>
  <c r="AH118" i="4"/>
  <c r="E22" i="11"/>
  <c r="E20" i="11"/>
  <c r="AH98" i="4"/>
  <c r="E19" i="11"/>
  <c r="AY154" i="4"/>
  <c r="AY138" i="4"/>
  <c r="AP135" i="4"/>
  <c r="AS135" i="4"/>
  <c r="AV135" i="4"/>
  <c r="BM98" i="4"/>
  <c r="BM158" i="4"/>
  <c r="Z158" i="4"/>
  <c r="AP158" i="4"/>
  <c r="AG113" i="4"/>
  <c r="AH113" i="4"/>
  <c r="N19" i="11"/>
  <c r="N21" i="11"/>
  <c r="N28" i="11"/>
  <c r="AS21" i="4"/>
  <c r="AS158" i="4"/>
  <c r="K20" i="11"/>
  <c r="BB138" i="4"/>
  <c r="BE138" i="4"/>
  <c r="BH138" i="4"/>
  <c r="BK138" i="4"/>
  <c r="BB154" i="4"/>
  <c r="BE154" i="4"/>
  <c r="BH154" i="4"/>
  <c r="BK154" i="4"/>
  <c r="AY135" i="4"/>
  <c r="K22" i="11"/>
  <c r="AV21" i="4"/>
  <c r="AV158" i="4"/>
  <c r="E24" i="11"/>
  <c r="E25" i="11"/>
  <c r="BB135" i="4"/>
  <c r="BE135" i="4"/>
  <c r="BH135" i="4"/>
  <c r="BK135" i="4"/>
  <c r="AY21" i="4"/>
  <c r="AY158" i="4"/>
  <c r="C17" i="31"/>
  <c r="E17" i="31"/>
  <c r="K25" i="11"/>
  <c r="G24" i="11"/>
  <c r="E23" i="11"/>
  <c r="AH154" i="4"/>
  <c r="BB21" i="4"/>
  <c r="BB158" i="4"/>
  <c r="E27" i="11"/>
  <c r="G27" i="11"/>
  <c r="K24" i="11"/>
  <c r="K27" i="11"/>
  <c r="BE21" i="4"/>
  <c r="K23" i="11"/>
  <c r="D18" i="31"/>
  <c r="D19" i="31"/>
  <c r="E14" i="11"/>
  <c r="BH21" i="4"/>
  <c r="BE158" i="4"/>
  <c r="N36" i="11"/>
  <c r="N37" i="11"/>
  <c r="J43" i="11"/>
  <c r="E21" i="11"/>
  <c r="E28" i="11"/>
  <c r="C18" i="31"/>
  <c r="E18" i="31"/>
  <c r="BK21" i="4"/>
  <c r="K14" i="11"/>
  <c r="BH158" i="4"/>
  <c r="O43" i="11"/>
  <c r="U43" i="11"/>
  <c r="S43" i="11"/>
  <c r="Q43" i="11"/>
  <c r="M43" i="11"/>
  <c r="E39" i="11"/>
  <c r="E16" i="31"/>
  <c r="E19" i="31"/>
  <c r="C16" i="31"/>
  <c r="C19" i="31"/>
  <c r="BK158" i="4"/>
  <c r="AG21" i="4"/>
  <c r="AH21" i="4"/>
  <c r="AH104" i="4"/>
  <c r="G19" i="11"/>
  <c r="G21" i="11"/>
  <c r="G28" i="11"/>
  <c r="AG96" i="4"/>
  <c r="K19" i="11"/>
  <c r="AH96" i="4"/>
  <c r="AH158" i="4"/>
  <c r="AG158" i="4"/>
  <c r="N33" i="11"/>
  <c r="J42" i="11"/>
  <c r="S42" i="11"/>
  <c r="J44" i="11"/>
  <c r="K42" i="11"/>
  <c r="O42" i="11"/>
  <c r="U42" i="11"/>
  <c r="Q42" i="11"/>
  <c r="M42" i="11"/>
  <c r="I21" i="11"/>
  <c r="I16" i="11"/>
  <c r="I26" i="11"/>
  <c r="I15" i="11"/>
  <c r="I25" i="11"/>
  <c r="I14" i="11"/>
  <c r="I17" i="11"/>
  <c r="I22" i="11"/>
  <c r="I24" i="11"/>
  <c r="I18" i="11"/>
  <c r="I23" i="11"/>
  <c r="I27" i="11"/>
  <c r="I19" i="11"/>
  <c r="I13" i="11"/>
  <c r="I20" i="11"/>
  <c r="L33" i="11"/>
  <c r="L32" i="11"/>
  <c r="L36" i="11"/>
  <c r="N38" i="11"/>
  <c r="L35" i="11"/>
  <c r="N34" i="11"/>
  <c r="L37" i="11"/>
  <c r="L34" i="11"/>
  <c r="I28" i="11"/>
  <c r="U44" i="11"/>
  <c r="Q44" i="11"/>
  <c r="K43" i="11"/>
  <c r="K44" i="11"/>
  <c r="O44" i="11"/>
  <c r="S44" i="11"/>
  <c r="M44" i="11"/>
  <c r="L38" i="11"/>
</calcChain>
</file>

<file path=xl/comments1.xml><?xml version="1.0" encoding="utf-8"?>
<comments xmlns="http://schemas.openxmlformats.org/spreadsheetml/2006/main">
  <authors>
    <author>Usuario</author>
    <author>USER</author>
  </authors>
  <commentList>
    <comment ref="AA23" authorId="0" shapeId="0">
      <text>
        <r>
          <rPr>
            <b/>
            <sz val="9"/>
            <color indexed="81"/>
            <rFont val="Tahoma"/>
            <family val="2"/>
          </rPr>
          <t>Usuario:</t>
        </r>
        <r>
          <rPr>
            <sz val="9"/>
            <color indexed="81"/>
            <rFont val="Tahoma"/>
            <family val="2"/>
          </rPr>
          <t xml:space="preserve">
COLOCAR UNA X EN EL CUATRIMESTRE CORRESPONDIENTE LA EJECUCIÓN DEL PROYECTO.</t>
        </r>
      </text>
    </comment>
    <comment ref="AA24" authorId="0" shapeId="0">
      <text>
        <r>
          <rPr>
            <b/>
            <sz val="9"/>
            <color indexed="81"/>
            <rFont val="Tahoma"/>
            <family val="2"/>
          </rPr>
          <t>Usuario:</t>
        </r>
        <r>
          <rPr>
            <sz val="9"/>
            <color indexed="81"/>
            <rFont val="Tahoma"/>
            <family val="2"/>
          </rPr>
          <t xml:space="preserve">
COLOCAR UNA X EN EL CUATRIMESTRE CORRESPONDIENTE LA EJECUCIÓN DEL PROYECTO.</t>
        </r>
      </text>
    </comment>
    <comment ref="AA27"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28"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30"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31"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32"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33"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34"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36"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37"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38"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39"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40"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41"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J44" authorId="0" shapeId="0">
      <text>
        <r>
          <rPr>
            <b/>
            <sz val="9"/>
            <color indexed="81"/>
            <rFont val="Tahoma"/>
            <family val="2"/>
          </rPr>
          <t>Usuario:</t>
        </r>
        <r>
          <rPr>
            <sz val="9"/>
            <color indexed="81"/>
            <rFont val="Tahoma"/>
            <family val="2"/>
          </rPr>
          <t xml:space="preserve">
HACER REFERENCIA AL CONCEPTO DEL PROYECTO QUE PUEDE SER OBRA, BIEN, SERVICIO O CONSULTORIA.</t>
        </r>
      </text>
    </comment>
    <comment ref="G48" authorId="1" shapeId="0">
      <text>
        <r>
          <rPr>
            <b/>
            <sz val="9"/>
            <color indexed="81"/>
            <rFont val="Tahoma"/>
            <family val="2"/>
          </rPr>
          <t>USER:</t>
        </r>
        <r>
          <rPr>
            <sz val="9"/>
            <color indexed="81"/>
            <rFont val="Tahoma"/>
            <family val="2"/>
          </rPr>
          <t xml:space="preserve">
Contratación de seguro de vida para el personal operativo (bomberos) de la Institución</t>
        </r>
      </text>
    </comment>
    <comment ref="Z51" authorId="0" shapeId="0">
      <text>
        <r>
          <rPr>
            <b/>
            <sz val="9"/>
            <color indexed="81"/>
            <rFont val="Tahoma"/>
            <family val="2"/>
          </rPr>
          <t>Usuario:</t>
        </r>
        <r>
          <rPr>
            <sz val="9"/>
            <color indexed="81"/>
            <rFont val="Tahoma"/>
            <family val="2"/>
          </rPr>
          <t xml:space="preserve">
INSERTAR EL COSTO DEL PROYECTO EN REFERENCIA AL ESTUDIO REALIZADO. (NO INCLUIR IVA)</t>
        </r>
      </text>
    </comment>
    <comment ref="AA51"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52"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53"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 ref="AA75" authorId="0" shapeId="0">
      <text>
        <r>
          <rPr>
            <b/>
            <sz val="15"/>
            <color indexed="81"/>
            <rFont val="Tahoma"/>
            <family val="2"/>
          </rPr>
          <t>Usuario:</t>
        </r>
        <r>
          <rPr>
            <sz val="15"/>
            <color indexed="81"/>
            <rFont val="Tahoma"/>
            <family val="2"/>
          </rPr>
          <t xml:space="preserve">
COLOCAR UNA X EN EL CUATRIMESTRE CORRESPONDIENTE LA EJECUCIÓN DEL PROYECTO.</t>
        </r>
      </text>
    </comment>
  </commentList>
</comments>
</file>

<file path=xl/sharedStrings.xml><?xml version="1.0" encoding="utf-8"?>
<sst xmlns="http://schemas.openxmlformats.org/spreadsheetml/2006/main" count="5702" uniqueCount="1143">
  <si>
    <t>PLAN OPERATIVO ANUAL - POA / EJERCICIO FISCAL 2025</t>
  </si>
  <si>
    <t>CUERPO DE BOMBEROS MUNICIPAL DEL CANTÓN PASTAZA</t>
  </si>
  <si>
    <t>PLANIFICACION DE PROYECTOS /BIENES/SERVICIOS</t>
  </si>
  <si>
    <t>PLAN NACIONAL DE DESARROLLO</t>
  </si>
  <si>
    <t>PLAN DE DESARROLLO Y ORDENAMIENTO TERRITORIAL</t>
  </si>
  <si>
    <t>PLANIFICACION FINANCIERA Y EJECUCIÓN</t>
  </si>
  <si>
    <t>PROYECTO PLURIANUAL</t>
  </si>
  <si>
    <t>PROGRAMA</t>
  </si>
  <si>
    <t>PROYECTO</t>
  </si>
  <si>
    <t>PRODUCTO</t>
  </si>
  <si>
    <t>ACTIVIDAD</t>
  </si>
  <si>
    <t>PARTIDA</t>
  </si>
  <si>
    <t>DENOMINACIÓN PARTIDA</t>
  </si>
  <si>
    <t>SUBACTIVIDAD</t>
  </si>
  <si>
    <t>CONCEPTO (BIEN, OBRAS, SERVICIO O CONSULTORÍA)</t>
  </si>
  <si>
    <t>AÑO DE EJECUCION</t>
  </si>
  <si>
    <t>ESTADO DEL PROYECTO</t>
  </si>
  <si>
    <t xml:space="preserve">PARROQUIA </t>
  </si>
  <si>
    <t xml:space="preserve">COMUNIDAD </t>
  </si>
  <si>
    <t>N. BENEFICIARIOS</t>
  </si>
  <si>
    <t>NOMBRE DEL INDICADOR</t>
  </si>
  <si>
    <t>META DEL PROYECTO</t>
  </si>
  <si>
    <t xml:space="preserve">EJE PLAN NACIONAL DE DESARROLLO </t>
  </si>
  <si>
    <t>OBJ. PLAN NACIONAL DE DESARROLLO</t>
  </si>
  <si>
    <t>OBJETIVOS DE DESARROLLO SOSTENIBLE (ODS)</t>
  </si>
  <si>
    <t>COMPONENTE PDyOT</t>
  </si>
  <si>
    <t xml:space="preserve">OBJETIVOS ESTRATEGICOS DEL PDYOT </t>
  </si>
  <si>
    <t>POLIT. PDyOT</t>
  </si>
  <si>
    <t xml:space="preserve">META %  PDyOT </t>
  </si>
  <si>
    <t>FINANCIAMIENTO</t>
  </si>
  <si>
    <t>CRONOGRAMA EJECUCIÓN DE PROYECTOS</t>
  </si>
  <si>
    <t>CUATRIMESTRE %</t>
  </si>
  <si>
    <t xml:space="preserve">TOTAL </t>
  </si>
  <si>
    <t>SI/NO</t>
  </si>
  <si>
    <t>AÑO</t>
  </si>
  <si>
    <t>I</t>
  </si>
  <si>
    <t>II</t>
  </si>
  <si>
    <t>III</t>
  </si>
  <si>
    <t xml:space="preserve">REMUNERACIONES DE PERSONAL </t>
  </si>
  <si>
    <t>REMUNERACIONES Y BENEFICIOS SOCIALES Y LEGALES</t>
  </si>
  <si>
    <t>GESTIONAR LAS REMUNERACIONES Y BENEFICIOS SOCIALES Y LEGALES</t>
  </si>
  <si>
    <t>5.1.01.05</t>
  </si>
  <si>
    <t>REMUNERACIONES UNIFICADAS</t>
  </si>
  <si>
    <t>REMUNERACIONES A SERVIDORES</t>
  </si>
  <si>
    <t>GESTIÓN DE TALENTO HUMANO</t>
  </si>
  <si>
    <t>N/A</t>
  </si>
  <si>
    <t>NUEVO</t>
  </si>
  <si>
    <t>PUYO</t>
  </si>
  <si>
    <t>Eje Social</t>
  </si>
  <si>
    <t>Objetivo 3: Garantizar la seguridad integral, la paz ciudadana y transformar el sistema de justicia respetando los derechos humanos</t>
  </si>
  <si>
    <t>Objetivo 11: Lograr que las ciudades y comunidades sean sostenibles, inclusivas, seguras y resilientes.</t>
  </si>
  <si>
    <t>POLÍTICO INSTITUCIONAL</t>
  </si>
  <si>
    <t>Fortalecer la gestión financiera de las Empresas Publicas para la optimización de recursos y prestación de servicios</t>
  </si>
  <si>
    <t>Índice de sustentabilidad de Empresas Públicas</t>
  </si>
  <si>
    <t>Incrementar al menos a 1 el Índice de Sustentabilidad de Empresas Públicas Adscritas al GAD Municipal hasta el año 2030</t>
  </si>
  <si>
    <t>PROPIO</t>
  </si>
  <si>
    <t>NO</t>
  </si>
  <si>
    <t>5.1.02.03</t>
  </si>
  <si>
    <t>DÉCIMO TERCER SUELDO</t>
  </si>
  <si>
    <t>DECIMOTERCER SUELDO AL PERSONAL DE LA INSTITUCIÓN</t>
  </si>
  <si>
    <t>5.1.02.04</t>
  </si>
  <si>
    <t>DÉCIMO CUARTO SUELDO</t>
  </si>
  <si>
    <t>DECIMOCUARTO SUELDO AL PERSONAL DE LA INSTITUCIÓN</t>
  </si>
  <si>
    <t>5.1.03.06</t>
  </si>
  <si>
    <t>ALIMENTACIÓN</t>
  </si>
  <si>
    <t>ALIMENTACIÓN AL PERSONAL OPERATIVO DEL CBMCP</t>
  </si>
  <si>
    <t>5.1.03.12</t>
  </si>
  <si>
    <t>COMPENSACIÓN RÉGIMEN REMUNERATIVO DE FUERZAS ARMADAS, POLICÍA Y CUERPOS DE BOMBEROS</t>
  </si>
  <si>
    <t>COMPENSACIÓN ANUAL A BOMBEROS</t>
  </si>
  <si>
    <t>5.1.05.09</t>
  </si>
  <si>
    <t>HORAS EXTRAORDINARIAS Y SUPLEMENTARIAS</t>
  </si>
  <si>
    <t>HORAS EXTRAORDINARIAS Y SUPLEMENTARIAS AL PERSONAL</t>
  </si>
  <si>
    <t>5.1.05.10</t>
  </si>
  <si>
    <t>SERVICIOS PERSONALES POR CONTRATO</t>
  </si>
  <si>
    <t>REMUNERACIONES AL PERSONAL CONTRATADO BAJO EL RÉGIMEN DE LOSEP</t>
  </si>
  <si>
    <t>5.1.05.12</t>
  </si>
  <si>
    <t>SUBROGACIÓN</t>
  </si>
  <si>
    <t>SUBROGACIÓN DE FUNCIONES AL PERSONAL</t>
  </si>
  <si>
    <t>5.1.05.13</t>
  </si>
  <si>
    <t>ENCARGOS</t>
  </si>
  <si>
    <t>DIFERENCIA DE SUELDO POR ENCARGO DE FUNCIONES A PERSONAL</t>
  </si>
  <si>
    <t>5.1.06.01</t>
  </si>
  <si>
    <t>APORTE PATRONAL</t>
  </si>
  <si>
    <t>APORTE PATRONAL A PERSONAL DE LA INSTITUCIÓN</t>
  </si>
  <si>
    <t>5.1.06.02</t>
  </si>
  <si>
    <t>FONDO DE RESERVA</t>
  </si>
  <si>
    <t>FONDOS DE RESERVA A PERSONAL DE LA INSTITUCIÓN</t>
  </si>
  <si>
    <t>5.1.07.07</t>
  </si>
  <si>
    <t>COMPENSACIÓN POR VACACIONES NO GOZADAS POR CESACIÓN DE  FUNCIONES</t>
  </si>
  <si>
    <t>PROVISIÓN POR VACACIONES NO GOZADAS</t>
  </si>
  <si>
    <t>GASTOS ADMINISTRATIVOS</t>
  </si>
  <si>
    <t>BIENES, SERVICIOS Y LOGISTICA REQUERIDA PARA ACTIVIDADES OPERATIVAS Y ADMINISTRATIVAS</t>
  </si>
  <si>
    <t>GESTIONAR EL USO DE RECURSOS PARA ACTIVIDADES ADMINISTRATIVAS Y OPERATIVAS</t>
  </si>
  <si>
    <t>5.3.03.01</t>
  </si>
  <si>
    <t>PASAJES AL INTERIOR</t>
  </si>
  <si>
    <t>MOVILIZACIÓN Y TRANSPORTE DE SERVIDORES Y TRABAJADORES PÚBLICOS ENVIADOS EN COMISIÓN DE SERVICIOS DENTRO DEL PAÍS</t>
  </si>
  <si>
    <t>SERVICIOS</t>
  </si>
  <si>
    <t>5.3.03.02</t>
  </si>
  <si>
    <t>PASAJES AL EXTERIOR</t>
  </si>
  <si>
    <t>MOVILIZACIÓN Y TRANSPORTE DE SERVIDORES Y TRABAJADORES PÚBLICOS ENVIADOS EN COMISIÓN DE SERVICIOS FUERA DEL PAÍS</t>
  </si>
  <si>
    <t>5.3.03.03</t>
  </si>
  <si>
    <t>VIÁTICOS Y SUBSISTENCIAS EN EL INTERIOR</t>
  </si>
  <si>
    <t>HOSPEDAJE Y ALIMENTACIÓN DE LOS SERVIDORES Y TRABAJADORES PÚBLICOS EN COMISIÓN DE SERVICIOS DENTRO DEL PAÍS</t>
  </si>
  <si>
    <t>5.3.03.04</t>
  </si>
  <si>
    <t>VIÁTICOS Y SUBSISTENCIAS EN EL EXTERIOR</t>
  </si>
  <si>
    <t>HOSPEDAJE Y ALIMENTACIÓN DE LOS SERVIDORES Y TRABAJADORES PÚBLICOS ENVIADOS EN COMISIÓN DE SERVICIOS AL EXTERIOR</t>
  </si>
  <si>
    <t>5.3.06.01</t>
  </si>
  <si>
    <t>CONSULTORÍA, ASESORÍA E INVESTIGACIÓN ESPECIALIZADA</t>
  </si>
  <si>
    <t>N. Reingeniería aprobada</t>
  </si>
  <si>
    <t>5.3.06.06</t>
  </si>
  <si>
    <t>HONORARIOS POR CONTRATOS CIVILES DE SERVICIOS</t>
  </si>
  <si>
    <t>CONTRATACIÓN DE SERVICIOS PROFESIONALES</t>
  </si>
  <si>
    <t>5.3.06.12</t>
  </si>
  <si>
    <t>CAPACITACIÓN A SERVIDORES PÚBLICOS</t>
  </si>
  <si>
    <t>CAPACITACION PARA LA GESTION ADMINISTRATIVA</t>
  </si>
  <si>
    <t>N. capacitaciones administrativas recibidas</t>
  </si>
  <si>
    <t>CAPACITACION PARA LA GESTION OPERATIVA</t>
  </si>
  <si>
    <t>N. capacitaciones operativas recibidas</t>
  </si>
  <si>
    <t>5.7.02.01</t>
  </si>
  <si>
    <t>SEGUROS</t>
  </si>
  <si>
    <t>CONTRATACIÓN DE SEGURO DE FIDELIDAD DEL PERSONAL DE LA INSTITUCIÓN</t>
  </si>
  <si>
    <t>N. contratos de seguros ejecutados.</t>
  </si>
  <si>
    <t>CONTRATACIÓN DE PÓLIZA DE SEGUROS PARA BIENES Y VEHÍCULOS DE LA INSTITUCIÓN</t>
  </si>
  <si>
    <t>N. contratos de seguros bienes ejecutados.</t>
  </si>
  <si>
    <t>CONTRATACIÓN DE PÓLIZAS DE SEGURO DE VIDA Y ACCIDENTES PARA EL PERSONAL OPERATIVO Y VOLUNTARIO DEL CBMCP</t>
  </si>
  <si>
    <t>TODOS LOS BIENES INSTITUCIONALES</t>
  </si>
  <si>
    <t>N. contratos de seguros de vida ejecutados.</t>
  </si>
  <si>
    <t>INCLUSIONES - SERVICIO DE SEGUROS GENERALES PARA BIENES</t>
  </si>
  <si>
    <t>INCLUSIONES - SEGUROS DE VIDA COLECTIVA PARA EL PERSONAL DEL CBMCP</t>
  </si>
  <si>
    <t>5.3.01.01</t>
  </si>
  <si>
    <t>AGUA POTABLE</t>
  </si>
  <si>
    <t>SERVICIO DE AGUA POTABLE</t>
  </si>
  <si>
    <t>GESTIÓN FINANCIERA</t>
  </si>
  <si>
    <t>5.3.01.04</t>
  </si>
  <si>
    <t>ENERGÍA ELÉCTRICA</t>
  </si>
  <si>
    <t>SERVICIO DE ENERGIA ELECTRICA</t>
  </si>
  <si>
    <t>5.3.01.05</t>
  </si>
  <si>
    <t>TELECOMUNICACIONES</t>
  </si>
  <si>
    <t>SERVICIO DE TELEFONIA FIJA</t>
  </si>
  <si>
    <t>CAJAS CHICAS</t>
  </si>
  <si>
    <t>5.3.02.28</t>
  </si>
  <si>
    <t>SERVICIOS DE PROVISIÓN DE DISPOSITIVOS ELECTRÓNICOS Y CERTIFICACIÓN PARA REGISTRO DE FIRMAS DIGITALES</t>
  </si>
  <si>
    <t>5.7.01.02</t>
  </si>
  <si>
    <t>TASAS GENERALES, IMPUESTOS, CONTRIBUCIONES, PERMISOS, LICENCIAS Y PATENTES</t>
  </si>
  <si>
    <t>CONVENIO POR SERVICIO DE RECAUDACION DE LA TASA DE BOMBEROS POR PARTE DE LA EMPRESA ELECTRICA</t>
  </si>
  <si>
    <t>5.7.02.03</t>
  </si>
  <si>
    <t>COMISIONES BANCARIAS</t>
  </si>
  <si>
    <t>5.7.02.06</t>
  </si>
  <si>
    <t>COSTAS JUDICIALES, TRÁMITES NOTARIALES, LEGALIZACIÓN DE DOCUMENTOS Y ARREGLOS EXTRAJUDICIALES</t>
  </si>
  <si>
    <t>COSTAS JUDICIALES Y TRAMITES LEGALES JURIDICOS</t>
  </si>
  <si>
    <t>5.8.01.01</t>
  </si>
  <si>
    <t>A ENTIDADES DEL PRESUPUESTO GENERAL DEL ESTADO</t>
  </si>
  <si>
    <t>APORTE 5X1000 A LA CONTRALORIA GENERAL DEL ESTADO</t>
  </si>
  <si>
    <t>5.3.08.02</t>
  </si>
  <si>
    <t>VESTUARIO, LENCERÍA, PRENDAS DE PROTECCIÓN, INSUMOS Y ACCESORIOS PARA UNIFORMES DEL PERSONAL DE PROTECCIÓN, VIGILANCIA Y SEGURIDAD.</t>
  </si>
  <si>
    <t>ADQUISICIÓN DE UNIFORMES PARA EL PERSONAL ADMINISTRATIVO DEL CBMCP</t>
  </si>
  <si>
    <t>BIENES</t>
  </si>
  <si>
    <t>N. uniformes administrativos adquiridos</t>
  </si>
  <si>
    <t>ADQUISICIÓN DE UNIFORMES PARA EL PERSONAL OPERATIVO DEL CBMCP</t>
  </si>
  <si>
    <t>N. uniformes operativos adquiridos</t>
  </si>
  <si>
    <t>ASENTAMIENTOS HUMANOS</t>
  </si>
  <si>
    <t>Reducir los tiempos de respuesta de emergencias en el cantón Pastaza</t>
  </si>
  <si>
    <t>Porcentaje de eficiencia operacional de los servicios</t>
  </si>
  <si>
    <t>Reducir en un 10% los tiempos base establecidos en atención a emergencias por el Cuerpo de Bomberos de Pastaza anualmente hasta el año 2030</t>
  </si>
  <si>
    <t>5.3.04.05</t>
  </si>
  <si>
    <t>VEHÍCULOS (SERVICIOS PARA MANTENIMIENTO Y REPARACIÓN)</t>
  </si>
  <si>
    <t>Adquisición e instalación de balizas, protectores de carga y rotulación institucional en las camionetas del CBMCP</t>
  </si>
  <si>
    <t>MANTENIMIENTO</t>
  </si>
  <si>
    <t>N. de balizas instaladas</t>
  </si>
  <si>
    <t>5.3.02.04</t>
  </si>
  <si>
    <t>Edición, Impresión, Reproducción, Publicaciones, Suscripciones, Fotocopiado, Traducción, Empastado, Enmarcación, Serigrafía, Fotografía, Carnetización, Filmación e Imágenes Satelitales</t>
  </si>
  <si>
    <t>8.4.01.04</t>
  </si>
  <si>
    <t>Maquinaria y equipo</t>
  </si>
  <si>
    <t>5.3.02.55</t>
  </si>
  <si>
    <t>COMBUSTIBLES</t>
  </si>
  <si>
    <t>Contratación del servicio de abastecimiento de combustible para el parque automotor del CBMCP</t>
  </si>
  <si>
    <t>N. vehículos abastecidos de combustible</t>
  </si>
  <si>
    <t>SI</t>
  </si>
  <si>
    <t>Reemplazo del tanque cisterna de la unidad Charly 1 marca GH JMUA del CBMCP.</t>
  </si>
  <si>
    <t>N. tanque cisterna reemplazado</t>
  </si>
  <si>
    <t xml:space="preserve">Mantenimiento preventivo de dos camionetas por vigencia tecnologica </t>
  </si>
  <si>
    <t>N. de camionetas en buen estado</t>
  </si>
  <si>
    <t>5.3.04.04</t>
  </si>
  <si>
    <t>MAQUINARIAS Y EQUIPOS (INSTALACIÓN, MANTENIMIENTO Y REPARACIÓN)</t>
  </si>
  <si>
    <t>Contratación del servicio de mantenimiento del compresor de recarga del aire comprimido NARDI PACIFIC E30 motor trifásico del CBMCP</t>
  </si>
  <si>
    <t>N. de compresor en buen estado</t>
  </si>
  <si>
    <t>Adquisición de Línea Blanca para las Estaciones X1 y X2 del CBMCP</t>
  </si>
  <si>
    <t>X1 / X2</t>
  </si>
  <si>
    <t>N. equipos de línea blanca adquiridos</t>
  </si>
  <si>
    <t>8.4.01.03</t>
  </si>
  <si>
    <t>Mobiliarios</t>
  </si>
  <si>
    <t>Adquisición de mobiliario para la segunda planta administrativa ampliada y sala de crisis del CBMCP</t>
  </si>
  <si>
    <t>X1</t>
  </si>
  <si>
    <t>N. mobiliarios adquiridos</t>
  </si>
  <si>
    <t>CONTRATACIÓN DEL SERVICIO DE MANTENIMIENTO PREVENTIVO Y CORRECTIVO (INCLUYE MANO DE OBRA, REPUESTOS, LUBRICANTES) PARA EL PARQUE AUTOMOTOR DEL CUERPO DE BOMBEROS MUNICIPAL DEL CANTÓN PASTAZA</t>
  </si>
  <si>
    <t>N. de vehículos institucionales en buen estado</t>
  </si>
  <si>
    <t>5.3.04.17</t>
  </si>
  <si>
    <t>INFRAESTRUCTURA</t>
  </si>
  <si>
    <t>Mantenimiento y pintura de la infraestructura de las estaciones X1 y X2 del Cuerpo de Bomberos Municipal del Cantón Pastaza</t>
  </si>
  <si>
    <t>OBRA</t>
  </si>
  <si>
    <t>N. de instalaciones en buen estado</t>
  </si>
  <si>
    <t>ADQUISICIÓN DE MOBILIARIO POR CATÁLOGO ELECTRÓNICO PARA DIVERSAS ÁREAS DEL CBMCP</t>
  </si>
  <si>
    <t>N. de contratos mobiliario catalogado ejecutados</t>
  </si>
  <si>
    <t>ADQUISICIÓN E INSTALACIÓN DE EQUIPOS DE AUDIO PARA EL CBMCP</t>
  </si>
  <si>
    <t>TECNOLOGÍAS DE LA INFORMACIÓN, COMUNICACIONES Y SOPORTE</t>
  </si>
  <si>
    <t>N. de equipos audio intalados</t>
  </si>
  <si>
    <t>ADQUISICIÓN DE CÁMARAS Y ACCESORIOS PARA EL CBMCP</t>
  </si>
  <si>
    <t>N. cámaras adquiridas</t>
  </si>
  <si>
    <t>8.4.01.07</t>
  </si>
  <si>
    <t>Equipos, Sistemas y Paquetes Informáticos</t>
  </si>
  <si>
    <t>5.3.14.03</t>
  </si>
  <si>
    <t>MOBILIARIOS</t>
  </si>
  <si>
    <t>5.3.08.13</t>
  </si>
  <si>
    <t>REPUESTOS Y ACCESORIOS</t>
  </si>
  <si>
    <t>ADQUISICIÓN DE RADIOS SATELITALES Y RELOJ CON SERVICIO SATELITAL PARA EL CBMCP</t>
  </si>
  <si>
    <t>N. de radios y reloj adquiridos</t>
  </si>
  <si>
    <t>5.3.02.46</t>
  </si>
  <si>
    <t>SERVICIOS DE IDENTIFICACIÓN, MARCACIÓN, AUTENTIFICACIÓN, RASTREO, MONITOREO, SEGUIMIENTO Y/O TRAZABILIDAD</t>
  </si>
  <si>
    <t>ADQUISICIÓN DE EQUIPO INFORMATICO CATALOGADO PARA EL CBMCP</t>
  </si>
  <si>
    <t>N. de equipos informaticos adquiridos</t>
  </si>
  <si>
    <t>ADQUISICIÓN DE EQUIPOS INFORMATICOS, DISCO DUROS Y PERIFERICOS PARA EL CBMCP</t>
  </si>
  <si>
    <t>N. de equipos informaticos y accesorios adquiridos</t>
  </si>
  <si>
    <t>5.3.07.04</t>
  </si>
  <si>
    <t>MANTENIMIENTO Y REPARACIÓN DE EQUIPOS Y SISTEMAS INFORMÁTICOS</t>
  </si>
  <si>
    <t>MANTENIMIENTO PREVENTIVO POR VIGENCIA TECNOLOGICA DE EQUIPOS INFORMATICOS</t>
  </si>
  <si>
    <t>N. de equipos informaticos en buen estado</t>
  </si>
  <si>
    <t>5.3.07.02</t>
  </si>
  <si>
    <t>ARRENDAMIENTO Y LICENCIAS DE USO DE PAQUETES INFORMÁTICOS</t>
  </si>
  <si>
    <t>N. software adquiridos</t>
  </si>
  <si>
    <t>CONTRATACIÓN DEL SERVICIO DE PÁGINA WEB DEL CUERPO DE BOMBEROS MUNICIPAL DEL CANTÓN PASTAZA</t>
  </si>
  <si>
    <t>COMUNICACIÓN SOCIAL</t>
  </si>
  <si>
    <t>N. de página web funcional</t>
  </si>
  <si>
    <t>ARRASTRES</t>
  </si>
  <si>
    <t xml:space="preserve">LIQUIDACION DE PAGOS AÑOS ANTERIORES </t>
  </si>
  <si>
    <t>CONTRATACIÓN DEL SERVICIO DE MANTENIMIENTO PREVENTIVO , DE UN SERVIDOR NAS Y BACKUP PARA EL CUERPO DE BOMBEROS MUNICIPAL DEL CANTÓN PASTAZA</t>
  </si>
  <si>
    <t>N. de servidor NAS en buen estado</t>
  </si>
  <si>
    <t>MANTENIMIENTO POR VIGENCIA TECNOLOGICA DEL VEHÍCULO PARA USO INSTITUCIONAL DEL ÁREA ADMINISTRATIVA</t>
  </si>
  <si>
    <t>N. de vehiculos SUV en buen estado</t>
  </si>
  <si>
    <t>5.3.05.04</t>
  </si>
  <si>
    <t>MAQUINARIAS Y EQUIPOS (ARRENDAMIENTO)</t>
  </si>
  <si>
    <t>Servicio de arrendamiento de bien inmueble para las antenas del Cuerpo de Bomberos Municipal del Cantón Pastaza en el sector de Santa Rosa</t>
  </si>
  <si>
    <t>N. de antenas arrendadas</t>
  </si>
  <si>
    <t xml:space="preserve"> MANTENIMIENTO PREVENTIVO Y CORRECTIVO PARA LA AMBULANCIA SPRINTER 315 GARANTIZANDO LA VIGENCIA TECNOLÓGICA</t>
  </si>
  <si>
    <t>N. de ambulancia SPRINTER en buen estado</t>
  </si>
  <si>
    <t>Servicios de Identificación, Marcación, Autentificación, Rastreo, Monitoreo, Seguimiento y/o Trazabilidad</t>
  </si>
  <si>
    <t>CONTRATACIÓN DEL SERVICIO INTEGRAL DE RASTREO Y MONITOREO PARA LA FLOTA VEHICULAR DEL CBMCP</t>
  </si>
  <si>
    <t>TODA LA FLOTA VEHICULAR</t>
  </si>
  <si>
    <t>N. de vehículos con localización</t>
  </si>
  <si>
    <t>PREVENCION ANTE EVENTOS ADVERSOS</t>
  </si>
  <si>
    <t xml:space="preserve"> CAMPAÑAS Y ACTIVIDADES DE VINCULACION CON LA COMUNIDAD PARA PREVENCION ANTE EVENTOS ADVERSOS</t>
  </si>
  <si>
    <t>GESTIONAR CAMPAÑAS Y ACTIVIDADES DE VINCULACION CON LA COMUNIDAD PARA PREVENCION ANTE EVENTOS ADVERSOS</t>
  </si>
  <si>
    <t>5.3.02.07</t>
  </si>
  <si>
    <t>DIFUSIÓN, INFORMACIÓN Y PUBLICIDAD</t>
  </si>
  <si>
    <t>SERVICIOS DE DIFUSION EN MEDIOS DIGITALES, RADIALES Y  TELEVISIVO PARA LA SOCIALIZACION DE LA CAMPAÑA ALTO AL FUEGO – PIROTECNIA SEGURA, DEL CUERPO DE  BOMBEROS MUNICIPAL DEL CANTÓN PASTAZA,  Y SERVICIOS DE DIFUSIÓN EN MEDIOS  DIGITALES PARA LA SOCIALIZACION DE LA CAMPAÑA DE RIESGOS DOMICILIARIOS, DEL  CUERPO DE BOMBEROS MUNICIPAL DEL CANTON PASTAZA</t>
  </si>
  <si>
    <t>PREVENCIÓN</t>
  </si>
  <si>
    <t>N. de campañas contratadas</t>
  </si>
  <si>
    <t>Capacitar a la población urbana y rural del cantón Pastaza (alcanzando un 50% de la población capacitada) en temas de prevención de incendios, evacuación y primeros auxiliares consiguiendo una sociedad más preparada para accionar ante situaciones de riesgo y reducir los establecimientos que no cumplen con la normativa establecida.</t>
  </si>
  <si>
    <t>Incrementar un 2% de la población del sector urbano y rural capacitada en temas de prevención y primeros auxilios en el cantón anualmente hasta el 2030</t>
  </si>
  <si>
    <t>BIENES, SERVICIOS Y LOGISTICA PARA PREVENCION ANTE EVENTOS ADVERSOS</t>
  </si>
  <si>
    <t>GESTIONAR EL USO DE RECURSOS PARA PREVENCION ANTE EVENTOS ADVERSOS</t>
  </si>
  <si>
    <t>5.3.08.12</t>
  </si>
  <si>
    <t>MATERIALES DIDÁCTICOS</t>
  </si>
  <si>
    <t>ADQUISICIÓN DE MATERIAL LUDICO Y DIDACTICO PARA ACTIVIDADES DE VINCULACIÓN CON LA COMUNIDAD</t>
  </si>
  <si>
    <t>N. material ludico y didactico adquirido</t>
  </si>
  <si>
    <t>7.3.08.12</t>
  </si>
  <si>
    <t>5.3.08.07</t>
  </si>
  <si>
    <t>MATERIALES DE IMPRESIÓN, FOTOGRAFÍA, REPRODUCCIÓN Y PUBLICACIONES</t>
  </si>
  <si>
    <t>ADQUISICIÓN DE MATERIAL IMPRESO Y COMUNICACIONAL PARA LA GESTIÓN DE PREVENCIÓN DEL CBMCP</t>
  </si>
  <si>
    <t>MAQUINARIAS Y EQUIPOS</t>
  </si>
  <si>
    <t>ADQUISICIÓN DE CARPAS PLEGABLES PARA LA GESTIÓN DE PREVENCIÓN</t>
  </si>
  <si>
    <t>N. carpas adquiridas</t>
  </si>
  <si>
    <t>8.4.01.05</t>
  </si>
  <si>
    <t>VEHÍCULOS</t>
  </si>
  <si>
    <t>ADQUISICIÓN DE DOS MOTOCICLETAS PARA LA UNIDAD DE PREVENCIÓN DEL CUERPO DE BOMBEROS MUNICIPAL DEL CANTÓN PASTAZA</t>
  </si>
  <si>
    <t>N. motocicletas adquiridas</t>
  </si>
  <si>
    <t>5.3.14.04</t>
  </si>
  <si>
    <t>ATENCION DE EMERGENCIAS</t>
  </si>
  <si>
    <t>EQUIPOS, HERRAMIENTAS, PRENDAS DE PROTECCION, INSUMOS Y MATERIALES PARA LA PREPARACION Y RESPUESTA ANTE EVENTOS ADVERSOS</t>
  </si>
  <si>
    <t>DOTAR DE EQUIPOS, HERRAMIENTAS, PRENDAS DE PROTECCION, INSUMOS Y MATERIALES PARA LA PREPARACION Y RESPUESTA ANTE EVENTOS ADVERSOS</t>
  </si>
  <si>
    <t>5.3.08.26</t>
  </si>
  <si>
    <t>DISPOSITIVOS MÉDICOS DE USO GENERAL</t>
  </si>
  <si>
    <t>Adquisición de insumos médicos para la gestión sanitaria del Cuerpo de Bomberos Municipal del Cantón Pastaza</t>
  </si>
  <si>
    <t>GESTIÓN  DE EMERGENCIAS  / EMERGENCIAS PRE HOSPITALARIAS</t>
  </si>
  <si>
    <t>POBLACIÓN PUYO</t>
  </si>
  <si>
    <t>N. insumos médicos adquiridos</t>
  </si>
  <si>
    <t>MAQUINARIA Y EQUIPO (INSTALACIÓN, MANTENIMIENTO Y REPARACIÓN)</t>
  </si>
  <si>
    <t>Contatración del servicio de mantenimiento preventivo y correctivo, pruebas hidrostáticas y recarga de oxígeno de gas medicinal para el área de emergencias pre hospitalarias del Cuerpo de Bomberos Municipal del Cantón Pastaza</t>
  </si>
  <si>
    <t>5.3.02.03</t>
  </si>
  <si>
    <t>ALMACENAMIENTO, EMBALAJE, DESEMBALAJE, ENVASE, DESENVASE Y RECARGA DE EXTINTORES</t>
  </si>
  <si>
    <t>N. equipos en buen estado</t>
  </si>
  <si>
    <t xml:space="preserve"> VEHICULOS ESPECIALIZADOS PARA LA PREPARACION Y RESPUESTA ANTE EVENTOS ADVERSOS</t>
  </si>
  <si>
    <t>DOTAR DE VEHICULOS ESPECIALIZADOS PARA LA PREPARACION Y RESPUESTA ANTE EVENTOS ADVERSOS</t>
  </si>
  <si>
    <t>ADQUISICIÓN DE AMBULANCIA DE SOPORTE VITAL BÁSICO PARA LA ATENCIÓN DE EMERGENCIAS</t>
  </si>
  <si>
    <t>N. ambulancias adquiridas</t>
  </si>
  <si>
    <t>ADQUISICION DE EQUIPOS DE RESCATE VERTICAL</t>
  </si>
  <si>
    <t>GESTIÓN  DE EMERGENCIAS  / RESCATE</t>
  </si>
  <si>
    <t>N. equipos vertical adquiridos</t>
  </si>
  <si>
    <t>ADQUISICION DE EQUIPOS DE RESCATE VEHICULAR HIDRAULICO Y NEUMATICO</t>
  </si>
  <si>
    <t>N. equipos vehicular adquiridos</t>
  </si>
  <si>
    <t>ADQUISICIÓN DE EQUIPOS HERPETOLÓGICOS PARA EL MANEJO MANIPULACIÓN Y RESCATE DE FAUNA SILVESTRE PARA EL CBMCP</t>
  </si>
  <si>
    <t>N. equipos herpentologia adquiridos</t>
  </si>
  <si>
    <t>7.3.08.02</t>
  </si>
  <si>
    <t>ADQUISICION DE PRENDAS DE PROTECCION Y HERRAMIENTAS PARA RESCATE APICOLA</t>
  </si>
  <si>
    <t>N. equipos apicolas adquiridos</t>
  </si>
  <si>
    <t>5.3.08.11</t>
  </si>
  <si>
    <t>INSUMOS, MATERIALES Y SUMINISTROS PARA CONSTRUCCIÓN, ELECTRICIDAD, PLOMERÍA, CARPINTERÍA, SEÑALIZACIÓN VIAL, NAVEGACIÓN, CONTRA INCENDIOS Y PLACAS</t>
  </si>
  <si>
    <t>ADQUISICION DE EQUIPOS DE PROTECCION Y ACCESORIOS PARA RESCATE EN AGUAS RAPIDAS Y BUCEO</t>
  </si>
  <si>
    <t>N. equipos aguas rápidas y buceo adquiridos</t>
  </si>
  <si>
    <t>GESTIÓN  DE EMERGENCIAS  / COMBATE CONTRA INCENDIOS</t>
  </si>
  <si>
    <t>N. EPP forestal adquiridos</t>
  </si>
  <si>
    <t>ADQUISICION DE EQUIPOS DE RESPIRACION AUTONOMA</t>
  </si>
  <si>
    <t>ADQUISICIÓN DE EQUIPOS DE PROTECCIÓN PERSONAL PARA INCENDIOS ESTRUCTURALES</t>
  </si>
  <si>
    <t>N. EPP estructural adquiridos</t>
  </si>
  <si>
    <t>7.3.06.05</t>
  </si>
  <si>
    <t>Estudio y Diseño de Proyectos</t>
  </si>
  <si>
    <t>Consultoria para el proyecto del Centro de Capacitación y Reentrenamiento para el Cuerpo de Bomberos Municipal del Cantón Pastaza</t>
  </si>
  <si>
    <t>HABITANTES DEL PUYO</t>
  </si>
  <si>
    <t>N. consultorias contratadas</t>
  </si>
  <si>
    <t>5.3.08.23</t>
  </si>
  <si>
    <t>EGRESOS PARA SANIDAD AGROPECUARIA</t>
  </si>
  <si>
    <t>Adquisición de alimentos, medicina para prevención y tratamiento, vacunas, accesorios y materiales para los ejemplares caninos del Cuerpo de Bomberos Municipal del Cantón Pastaza</t>
  </si>
  <si>
    <t>N. canes atendidos</t>
  </si>
  <si>
    <t>CONTRATACIÓN DEL SERVICIO DE MANTENIMIENTO PREVENTIVO, PRUEBAS HIDROSTÁTICAS Y RECARGA DE OXIGENO DE GAS MEDICINAL PARA EL ÁREA DE EMERGENCIAS PREHOSPITALARIAS DEL CUERPO DE BOMBEROS MUNICIPAL DEL CANTÓN PASTAZA</t>
  </si>
  <si>
    <t>N. de tanques de oxigeno en buen estado</t>
  </si>
  <si>
    <t>TOTAL</t>
  </si>
  <si>
    <t>RESPONSABLE DE LA FASE PREPARATORIA</t>
  </si>
  <si>
    <t>RESPONSABLE DE LA FASE PRECONTRACTUAL</t>
  </si>
  <si>
    <t>RESPONSABLE DE LA FASE CONTRACTUAL</t>
  </si>
  <si>
    <t>%</t>
  </si>
  <si>
    <t>ÁREA RESPONSABLE</t>
  </si>
  <si>
    <t>RESPONSABLE USO Y DESTINO</t>
  </si>
  <si>
    <t>PLAN ANUAL DE CONTRATACIÓN PÚBLICA - PAC 2025</t>
  </si>
  <si>
    <t>FECHA ESTIMADA PUBLICACIÓN SERCOP</t>
  </si>
  <si>
    <t>EDISON STALIN MEDINA ARIAS</t>
  </si>
  <si>
    <t>NAVEDA SANTOS MARCO SANTIAGO</t>
  </si>
  <si>
    <t>CHAQUINGA TUMAILLA DARWIN JAVIER</t>
  </si>
  <si>
    <t>NO APLICA</t>
  </si>
  <si>
    <t>NO APLKCA</t>
  </si>
  <si>
    <t>GUEVERA PARRA ANGELITA SAMANTHA</t>
  </si>
  <si>
    <t>VELIN VINUEZA OSKAR JESUS</t>
  </si>
  <si>
    <t>ILBAY GEORGIS JORGE BLADIMIR</t>
  </si>
  <si>
    <t>QUISPE PEREZ SANDRO PATRICIO</t>
  </si>
  <si>
    <t>ZAMBRANO LESCANO HENRY FERNANDO</t>
  </si>
  <si>
    <t>ZAPATA HERRERA JOSE DANIEL</t>
  </si>
  <si>
    <t>MOYOLEMA PALATE INES MARICELA</t>
  </si>
  <si>
    <t>CONGACHA YANCHA MARCO VINICIO</t>
  </si>
  <si>
    <t>CELI VEGA BEBERLYN JOHANA</t>
  </si>
  <si>
    <t>MARTINEZ RUIZ MONICA ALEJANDRA</t>
  </si>
  <si>
    <t>MARTÍNEZ RUIZ MÓNICA ALEJANDRA</t>
  </si>
  <si>
    <t>YAMBAY ASQUI RUTH ELIZABETH</t>
  </si>
  <si>
    <t>PAREDES FREIRE DARWIN OSWALDO</t>
  </si>
  <si>
    <t>PARRA ZAMBONINO SANTOS NAVIGIO</t>
  </si>
  <si>
    <t>MOYOLEMA PALATE INÉS MARICELA</t>
  </si>
  <si>
    <t>Contratación del servicio de abastecimiento de combustible para el parque automotor del CBMCP por precio fijo</t>
  </si>
  <si>
    <t>ALVAREZ ASTUDILLO ALEX DANIEL</t>
  </si>
  <si>
    <t>GARCIA RUANO ALEXANDER ALBERTO</t>
  </si>
  <si>
    <t>CUJI GUALINGA JESUS NAHIN</t>
  </si>
  <si>
    <t>TAMAYO LUNA DANNY FERNANDO</t>
  </si>
  <si>
    <t>LLERENA MERINO ARIEL GUSTAVO</t>
  </si>
  <si>
    <t>BETANCOURT CHAMORRO JOHN JAIRO</t>
  </si>
  <si>
    <t>POR DEFINIR</t>
  </si>
  <si>
    <t>SARABIA RODRIGUEZ EDWIN DAVID</t>
  </si>
  <si>
    <t>RIOS GUIJARRO CARLOS ALBERTO</t>
  </si>
  <si>
    <t>CASTILLO ESPIN HECTOR GONZALO</t>
  </si>
  <si>
    <t>POR DEFINIR - PLAN MANTENIMIENTO</t>
  </si>
  <si>
    <t>PAREDES MUÑOZ HENRY PATRICIO</t>
  </si>
  <si>
    <t>25/05/20025</t>
  </si>
  <si>
    <t>SHARUP PITIUR NATIVIDAD ELODIA</t>
  </si>
  <si>
    <t>MUCUSHIGUA DAGUA MARIELA LUCIA</t>
  </si>
  <si>
    <t>COLOMA ESCOBAR SEGUNDO LIZANDRO</t>
  </si>
  <si>
    <t>VILLACIS VILLACRES FANNY DANIELA</t>
  </si>
  <si>
    <t xml:space="preserve">POR DEFINIR PROCESO EN CRITERIO JURIDO </t>
  </si>
  <si>
    <t>REINOSO GALVEZ JOFFRE ISAIAS</t>
  </si>
  <si>
    <t>LAGUA PEREZ JORDY EDISON/RIOS GUIJARRO CARLOS ALBERTO</t>
  </si>
  <si>
    <t>TOSCANO ORTIZ PLINIO RODRIGO</t>
  </si>
  <si>
    <t>RIOS RODRIGUEZ DAVID ALEXIS</t>
  </si>
  <si>
    <t>SAULA SANGOQUIZA DOUGLAS DANIEL</t>
  </si>
  <si>
    <t>VALIENTE CUCHIOE GLAUDIO RUBEN</t>
  </si>
  <si>
    <t>UTITIAJA CUJI GEOVANNY FRANKLIN</t>
  </si>
  <si>
    <t>SANTOS PEREZ ROBERTO VINICIO</t>
  </si>
  <si>
    <t>VALIENTE CUCHIPE GLAUDIO RUBEN</t>
  </si>
  <si>
    <t>SANTI DAHUA FABIAN ELVIS</t>
  </si>
  <si>
    <t>ADMINISTRADOR</t>
  </si>
  <si>
    <t>Nro.</t>
  </si>
  <si>
    <t>VALOR</t>
  </si>
  <si>
    <t>Certificación POA Nro. CBMCP-CAF-CERT-001-2025</t>
  </si>
  <si>
    <t>PRESUPUESTO</t>
  </si>
  <si>
    <t>Nro. 01</t>
  </si>
  <si>
    <t>Certificación POA Nro. CBMCP-CAF-CERT-002-2025</t>
  </si>
  <si>
    <t>Nro. 02</t>
  </si>
  <si>
    <t>DISPONIBILIDAD PRESUPUESTARIA</t>
  </si>
  <si>
    <t>COMPROMISO PRESUPUESTARIO</t>
  </si>
  <si>
    <t>CRONOGRAMA EJECUCIÓN PRESUPUESTO</t>
  </si>
  <si>
    <t>CODIFICADO</t>
  </si>
  <si>
    <t>INCREMENTO</t>
  </si>
  <si>
    <t>DISMINUCIÓN</t>
  </si>
  <si>
    <t>PRIMER TRASPASO</t>
  </si>
  <si>
    <t>NUEVO CODIFICADO</t>
  </si>
  <si>
    <t>Certificación POA Nro. CBMCP-CAF-CERT-004-2025</t>
  </si>
  <si>
    <t>Nro. 04</t>
  </si>
  <si>
    <t>Certificación POA Nro. CBMCP-CAF-CERT-007-2025</t>
  </si>
  <si>
    <t>Nro. 07</t>
  </si>
  <si>
    <t>PRIMER REFORMA</t>
  </si>
  <si>
    <t>AUMENTO</t>
  </si>
  <si>
    <t>ADQUISICIÓN DE CÁMARAS DE SEGURIDAD PARA EL CBMCP</t>
  </si>
  <si>
    <t>ADQUISICIÓN DE UPS PARA EL CBMCP</t>
  </si>
  <si>
    <t>ADQUISICIÓN DE HERRAMIENTAS PARA EL MANTENIMIENTO DE EQUIPOS INFORMATICOS Y DE RED</t>
  </si>
  <si>
    <t>ADQUISICIÓN DE EQUIPOS DE MULTIMEDIA</t>
  </si>
  <si>
    <t>Maquinarias y Equipos</t>
  </si>
  <si>
    <t>Repuestos y Accesorios</t>
  </si>
  <si>
    <t>Materiales de Aseo</t>
  </si>
  <si>
    <t>Insumos, Materiales y Suministros para Construcción, Electricidad, Plomería, Carpintería, Señalización Vial, Navegación, Contra Incendios y Placas</t>
  </si>
  <si>
    <t>CBMCP</t>
  </si>
  <si>
    <t>Materiales de Impresión, Fotografia, Reproducción y Publicaciones</t>
  </si>
  <si>
    <t>ADQUISICIÓN DE MATERIAL PRE IMPRESO Y COMUNICACIONAL PARA LA GESTIÓN DE PREVENCIÓN.</t>
  </si>
  <si>
    <t>Mobiliario</t>
  </si>
  <si>
    <t>Menaje y accesorios descartables</t>
  </si>
  <si>
    <t>ADQUISICIÓN DE COLCHONES Y MENAJE DE CAMA PARA EL PERSONAL OPERATIVO DEL CBMCP</t>
  </si>
  <si>
    <t>ADQUISICIÓN DE EQUIPOS DE CLIMATIZACIÓN PARA LA SEGUNDA PLANTA ADMINISTRATIVA AMPLIADA Y SALA DE CRISIS DEL CBMCP</t>
  </si>
  <si>
    <t>ADQUISICIÓN MATERIALES DE ASEO NO CATALOGADOS</t>
  </si>
  <si>
    <t>ADQUISICIÓN DE MATERIAL Y ACCESORIO DE RED Y ELECTRICO</t>
  </si>
  <si>
    <t>Certificación POA Nro. CBMCP-CAF-CERT-009-2025</t>
  </si>
  <si>
    <t>Nro. 09</t>
  </si>
  <si>
    <t>Certificación POA Nro. CBMCP-CAF-CERT-010-2025</t>
  </si>
  <si>
    <t>Nro. 10</t>
  </si>
  <si>
    <t>Certificación POA Nro. CBMCP-CAF-CERT-006-2025</t>
  </si>
  <si>
    <t>Nro. 06</t>
  </si>
  <si>
    <t>SEGUNDO TRASPASO</t>
  </si>
  <si>
    <t>N. de vehiculos con combustible diesel</t>
  </si>
  <si>
    <t>Nro.12</t>
  </si>
  <si>
    <t>Nro.13</t>
  </si>
  <si>
    <t>Nro. 14</t>
  </si>
  <si>
    <t>Nro. 15</t>
  </si>
  <si>
    <t>Nro. 16</t>
  </si>
  <si>
    <t>5.3.08.05</t>
  </si>
  <si>
    <t>5.3.08.20</t>
  </si>
  <si>
    <t>Certificación POA Nro. CBMCP-CAF-CERT-014-2025</t>
  </si>
  <si>
    <t>Nro. 22</t>
  </si>
  <si>
    <t>Certificación POA Nro. CBMCP-CAF-CERT-015-2025</t>
  </si>
  <si>
    <t>Nro. 13</t>
  </si>
  <si>
    <t>CUMPLE</t>
  </si>
  <si>
    <t>REPROGRAMACIÓN
Publicado: 06/02/2025</t>
  </si>
  <si>
    <t>ESTADO</t>
  </si>
  <si>
    <t xml:space="preserve">REPROGRAMACIÓN: </t>
  </si>
  <si>
    <t>JUNIO</t>
  </si>
  <si>
    <t>Nro. 35</t>
  </si>
  <si>
    <t>Certificación POA Nro. CBMCP-CAF-CERT-017-2025
Certificación POA Nro. CBMCP-CAF-CERT-013-2025</t>
  </si>
  <si>
    <t>Nro. 18
Nro. 14</t>
  </si>
  <si>
    <t>Nro. 37</t>
  </si>
  <si>
    <t>Certificación POA Nro. CBMCP-CAF-CERT-018-2025</t>
  </si>
  <si>
    <t>Nro. 19</t>
  </si>
  <si>
    <t>Nro. 40</t>
  </si>
  <si>
    <t>Nro. 41
Nro. 39
Nro. 36
Nro. 33</t>
  </si>
  <si>
    <t>TERCER TRASPASO</t>
  </si>
  <si>
    <t>CODIFICADO INICIAL</t>
  </si>
  <si>
    <t>Tasas Generales, Impuestos, Contribuciones, Permisos, Licencias y Patentes.</t>
  </si>
  <si>
    <t>Proceso de matriculación del parque automotor del CBMCP</t>
  </si>
  <si>
    <t>N. de vehiculos matriculados</t>
  </si>
  <si>
    <t xml:space="preserve">CODIFICADO </t>
  </si>
  <si>
    <t>Nro. 21</t>
  </si>
  <si>
    <t>Nro. 43</t>
  </si>
  <si>
    <t>Certificación POA Nro. CBMCP-CAF-CERT-021-2025</t>
  </si>
  <si>
    <t>Nro. 46</t>
  </si>
  <si>
    <t xml:space="preserve">% </t>
  </si>
  <si>
    <t>COMPROMETIDO</t>
  </si>
  <si>
    <t>FECHA ESTIMADA INGRESO COMPRAS PÚBLICAS</t>
  </si>
  <si>
    <t>Certificación POA Nro. CBMCP-CAF-CERT-020-2025</t>
  </si>
  <si>
    <t>FASE PREPARATORIA</t>
  </si>
  <si>
    <t>RECEPCIÓN</t>
  </si>
  <si>
    <t>FINALIZADO Y PAGADO</t>
  </si>
  <si>
    <t>NO CUMPLE</t>
  </si>
  <si>
    <t>CUMPLE / NO CUMPLE (FECHA DE PUBLICACIÓN)</t>
  </si>
  <si>
    <t>PROCESO 2024</t>
  </si>
  <si>
    <t>NO PRESENTA INFORMACIÓN</t>
  </si>
  <si>
    <t>APUNTE ALARCON KILMAR RENE</t>
  </si>
  <si>
    <t>REPROGRAMACIÓN: 02/04/2025</t>
  </si>
  <si>
    <t>Certificación POA Nro. CBMCP-CAF-CERT-024-2025</t>
  </si>
  <si>
    <t>Nro. 25</t>
  </si>
  <si>
    <t>CUARTA MODIFICACIÓN</t>
  </si>
  <si>
    <t>Pago de contribuciones especiales de mejoras</t>
  </si>
  <si>
    <t>Contribuciones Especiales</t>
  </si>
  <si>
    <t>Edición, Impresión, Reproducción, Publicaciones, Suscripciones, Fotocopiado, Traducción, Empastado, Enmarcación,
Serigrafía, Fotografía, Carnetización, Filmación e Imágenes Satelitales</t>
  </si>
  <si>
    <t>Adquisición de especies valoradas para el uso de tesoreria del CBMCP</t>
  </si>
  <si>
    <t>Certificación POA Nro. CBMCP-CAF-CERT-029-2025</t>
  </si>
  <si>
    <t>Nro. 30</t>
  </si>
  <si>
    <t>Certificación POA Nro. CBMCP-CAF-CERT-030-2025</t>
  </si>
  <si>
    <t>Nro. 31</t>
  </si>
  <si>
    <t>Certificación POA Nro. CBMCP-CAF-CERT-032-2025</t>
  </si>
  <si>
    <t>Nro. 32</t>
  </si>
  <si>
    <t>Nro. 33
Nro. 12</t>
  </si>
  <si>
    <t>Nro. 91</t>
  </si>
  <si>
    <t>Certificación POA Nro. CBMCP-CAF-CERT-035-2025</t>
  </si>
  <si>
    <t>Certificación POA Nro. CBMCP-CAF-CERT-038-2025</t>
  </si>
  <si>
    <t>Nro. 38</t>
  </si>
  <si>
    <t>SEXTA MODIFICACIÓN</t>
  </si>
  <si>
    <t>Certificación POA Nro. CBMCP-CAF-CERT-043-2025</t>
  </si>
  <si>
    <t>Nro. 121</t>
  </si>
  <si>
    <t>Nro. 122</t>
  </si>
  <si>
    <t>CONSULTORÍA PARA LA REFORMA DEL ESTATUTO DE GESTIÓN
ORGANIZACIONAL POR PROCESOS, MANUAL DE ANÁLISIS,
DESCRIPCIÓN, VALORACIÓN Y CLASIFICACIÓN DE PUESTOS;
ELABORACIÓN DEL PROYECTO DE PLAN DE CARRERA PARA EL
CBMCP</t>
  </si>
  <si>
    <t>Certificación POA Nro. CBMCP-CAF-CERT-047-2025</t>
  </si>
  <si>
    <t>Nro. 47</t>
  </si>
  <si>
    <t>Nro. 128</t>
  </si>
  <si>
    <t>Certificación POA Nro. CBMCP-CAF-CERT-050-2025</t>
  </si>
  <si>
    <t>Certificación POA Nro. CBMCP-CAF-CERT-042-2025
Certificación POA Nro. CBMCP-CAF-CERT-003-2025</t>
  </si>
  <si>
    <t>Certificación POA Nro. CBMCP-CAF-CERT-033-2025
Certificación POA Nro. CBMCP-CAF-CERT-031-2025
Certificación POA Nro. CBMCP-CAF-CERT-012-2025</t>
  </si>
  <si>
    <t>Certificación POA Nro. CBMCP-CAF-CERT-049-2025
Certificación POA Nro. CBMCP-CAF-CERT-048-2025
Certificación POA Nro. CBMCP-CAF-CERT-046-2025
Certificación POA Nro. CBMCP-CAF-CERT-040-2025
Certificación POA Nro. CBMCP-CAF-CERT-028-2025
Certificación POA Nro. CBMCP-CAF-CERT-022-2025
Certificación POA Nro. CBMCP-CAF-CERT-021-2025
Certificación POA Nro. CBMCP-CAF-CERT-019-2025</t>
  </si>
  <si>
    <t>Nro. 49
Nro. 48
Nro. 46
Nro. 40
Nro. 29
Nro. 23
Nro. 20</t>
  </si>
  <si>
    <t>Nro. 150</t>
  </si>
  <si>
    <t>Nro. 130</t>
  </si>
  <si>
    <t>DEVENGADO</t>
  </si>
  <si>
    <t>Nro. 110
Nro. 109</t>
  </si>
  <si>
    <t>Nro. 136</t>
  </si>
  <si>
    <t>Nro. 117
Nro. 116
Nro. 115
Nro. 97
Nro. 96
Nro. 88
Nro. 64
Nro. 32
Nro. 18</t>
  </si>
  <si>
    <t>Nro. 129
Nro. 07</t>
  </si>
  <si>
    <t>Nro. 151</t>
  </si>
  <si>
    <t>Nro. 135
Nro. 134
Nro. 126
Nro. 108
Nro. 78
Nro. 62
Nro. 45
Nro. 44</t>
  </si>
  <si>
    <t>Nro. 31
Nro. 30
Nro. 17</t>
  </si>
  <si>
    <t>POA</t>
  </si>
  <si>
    <t>CODIFICADO 2025</t>
  </si>
  <si>
    <t>Nro. 51</t>
  </si>
  <si>
    <t>GASTOS</t>
  </si>
  <si>
    <t>INGRESOS</t>
  </si>
  <si>
    <t>DENOMINACIÓN</t>
  </si>
  <si>
    <t>INGRESOS CORRIENTES</t>
  </si>
  <si>
    <t>INGRESOS DE FINANCIAMIENTO</t>
  </si>
  <si>
    <t>RECAUDACIÓN</t>
  </si>
  <si>
    <t>Nro. 168</t>
  </si>
  <si>
    <t>Nro. 42
Nro. 03</t>
  </si>
  <si>
    <t>5.3.01.06</t>
  </si>
  <si>
    <t>Servicio de Correo</t>
  </si>
  <si>
    <t>OCTAVA MODIFICACIÓN</t>
  </si>
  <si>
    <t xml:space="preserve">MANTENIMIENTO CORRECTIVO ESPECIALIZADO DE LA AMBULANCIA MERCEDES BENZ SPRINTER 315 </t>
  </si>
  <si>
    <t>Certificación POA Nro. CBMCP-CAF-CERT-055-2025</t>
  </si>
  <si>
    <t xml:space="preserve">Nro. 54   </t>
  </si>
  <si>
    <t>Nro. 184</t>
  </si>
  <si>
    <t>Nro. 189</t>
  </si>
  <si>
    <t>JULIO</t>
  </si>
  <si>
    <t>AGOSTO</t>
  </si>
  <si>
    <t>SEPTIEMBRE</t>
  </si>
  <si>
    <t>OCTUBRE</t>
  </si>
  <si>
    <t>MES DE PUBLICACIÓN</t>
  </si>
  <si>
    <t>AQUISICION DE REPUESTOS PARA LAS BOMBAS DE SUCCION</t>
  </si>
  <si>
    <t>ADQUISICIÓN DE EQUIPOS DE PROTECCIÓN PERSONAL NIVEL 1 Y FORESTALES</t>
  </si>
  <si>
    <t>NOVIEMBRE</t>
  </si>
  <si>
    <t>EJECUTADO</t>
  </si>
  <si>
    <t>SEGUNDA REFORMA</t>
  </si>
  <si>
    <t>ADQUISICIÓN DE SUMINISTROS DE IMPRESIÓN PARA EL CBMCP</t>
  </si>
  <si>
    <t>Materiales de Impresión, Fotografía, Reproducción y Publicaciones</t>
  </si>
  <si>
    <t>MANTENIMIENTO PREVENTIVO, CORRECTIVO Y REINSTALACIÓN DE LOS EQUIPOS DE AIRE ACONDICIONADOS</t>
  </si>
  <si>
    <t>Maquinarias y Equipos (Instalación, Mantenimiento y Reparación)</t>
  </si>
  <si>
    <t>Vehículos (Servicio para Mantenimiento y Reparación)</t>
  </si>
  <si>
    <t>MANTENIMIENTO PREVENTIVO Y CORRECTIVO DE LA AUTOBOMBA RENAULT D15</t>
  </si>
  <si>
    <t>ADQUISICIÓN DE EQUIPOS BIOMÉDICOS PARA LAS AMBULANCIAS DEL CBMCP</t>
  </si>
  <si>
    <t>8.4.01.13</t>
  </si>
  <si>
    <t>Vestuario, Lencería, Prendas de Protección, Insumos y Accesorios para uniformes del personal de Protección,
Vigilancia y Seguridad.</t>
  </si>
  <si>
    <t xml:space="preserve">Equipos Médicos
</t>
  </si>
  <si>
    <t>ADQUISICIÓN DE INSUMOS Y DISPOSITIVOS MÉDICOS PARA LA GESTIÓN SANITARIA DEL CUERPO DE BOMBEROS DEL CBMCP.</t>
  </si>
  <si>
    <t>Dispositivos Médicos de Uso General</t>
  </si>
  <si>
    <t>MANTENIMIENTO PREVENTIVO Y CORRECTIVO DE LOS EQUIPOS BIOMÉDICOS DEL CBMCP</t>
  </si>
  <si>
    <t>8.4.01.06</t>
  </si>
  <si>
    <t>8.4.01.11</t>
  </si>
  <si>
    <t>Herramientas</t>
  </si>
  <si>
    <t>Partes y Repuestos</t>
  </si>
  <si>
    <t>GESTIÓN DE BIENES Y ALMACENAMIENTO</t>
  </si>
  <si>
    <t>ADQUISICIÓN DE MATERIALES DE ASEO</t>
  </si>
  <si>
    <t>Materiales de Oficina</t>
  </si>
  <si>
    <t>ADQUISICIÓN DE MATERIAL DE OFICINA</t>
  </si>
  <si>
    <t>5.3.08.04</t>
  </si>
  <si>
    <t>RESPONSABLES ACTUALES</t>
  </si>
  <si>
    <t>RESPONSABLES CON EL NUEVO ESTATUTO</t>
  </si>
  <si>
    <t>CONTRATACIÓN DEL SERVICIO DE EXÁMENES DE MEDICINA PREVENTIVA</t>
  </si>
  <si>
    <t>5.3.02.26</t>
  </si>
  <si>
    <t>Servicios Médicos Hospitalarios y Complementarios</t>
  </si>
  <si>
    <t>CODIFICACION</t>
  </si>
  <si>
    <t xml:space="preserve"> D E N O M I N A C I O N </t>
  </si>
  <si>
    <t>BIENES Y SERVICIOS DE CONSUMO</t>
  </si>
  <si>
    <t>BIENES Y SERVICIOS PARA INVERSIÓN</t>
  </si>
  <si>
    <t>ESTUDIO Y DISEÑO DE PROYECTOS</t>
  </si>
  <si>
    <t>BIENES DE LARGA DURACION</t>
  </si>
  <si>
    <t>GASTOS CORRIENTES</t>
  </si>
  <si>
    <t>GASTOS DE CAPITAL</t>
  </si>
  <si>
    <t>PUYO, 22 DE NOVIEMBRE DEL 2024</t>
  </si>
  <si>
    <t>ELABORADOR POR:</t>
  </si>
  <si>
    <t>REVISADO POR:</t>
  </si>
  <si>
    <t>ING. EUGENIA GUARTAMBEL</t>
  </si>
  <si>
    <t>LCDO. CARLOS QUISPE</t>
  </si>
  <si>
    <t>COORDINADORA ADMINISTRATIVA FINANCIERA DEL CBMCP</t>
  </si>
  <si>
    <t>JEFE DEL CUERPO DE BOMBEROS MCP</t>
  </si>
  <si>
    <t>APROBADO POR: COMITÉ DE ADMINISTRACIÓN Y PLANIFICACIÓN</t>
  </si>
  <si>
    <t>Aprobado por los integrantes del Comité de Administración y Planificación en primero y segundo debate en sesiones de fecha 21 y 22 de noviembre del 2024</t>
  </si>
  <si>
    <t>Lcdo. Carlos Quispe</t>
  </si>
  <si>
    <t>Tlgo. Marco Naveda</t>
  </si>
  <si>
    <t>JEFE (E) DEL CUERPO DE BOMBEROS</t>
  </si>
  <si>
    <t>COORDINADOR DE OPERACIONES (E)</t>
  </si>
  <si>
    <t>MUNICIPAL DEL CANTÓN PASTAZA</t>
  </si>
  <si>
    <t>CUERPO DE BOMBEROS MCP</t>
  </si>
  <si>
    <t>Arq. Jaime Francsico Arroba</t>
  </si>
  <si>
    <t>Sr. Anibal Toscano</t>
  </si>
  <si>
    <t>DIRECTOR DE PLANIFICACIÓN DEL</t>
  </si>
  <si>
    <t>CONCEJAL DEL GAD MUNICIPAL DE PASTAZA</t>
  </si>
  <si>
    <t>GAD MUNICIPAL PASTAZA</t>
  </si>
  <si>
    <t xml:space="preserve">QUE PRESIDE LA COMISIÓN DEL CUERPO </t>
  </si>
  <si>
    <t>DE BOMBEROS MUNICIPAL DEL CANTÓN</t>
  </si>
  <si>
    <t>PASTAZA</t>
  </si>
  <si>
    <t>CODIFICADO 2026</t>
  </si>
  <si>
    <t>GASTO EN PERSONAL</t>
  </si>
  <si>
    <t>DECIMOTERCER SUELDO</t>
  </si>
  <si>
    <t>DECIMOCUARTO SUELDO</t>
  </si>
  <si>
    <t>COMPENSACION POR VACACIONES NO GOZADAS POR CESACION DE FUNCIONES</t>
  </si>
  <si>
    <t>SERVICIO DE CORREO</t>
  </si>
  <si>
    <t>EDICIÓN, IMPRESIÓN, REPRODUCCIÓN, PUBLICACIONES, SUSCRIPCIONES, (INVITACIONES SESION SOLEMNE)</t>
  </si>
  <si>
    <t>OTROS EGRESOS CORRIENTES</t>
  </si>
  <si>
    <t>TRANSFERENCIAS O DONACIONES CORRIENTES</t>
  </si>
  <si>
    <t>EQUIPOS, SISTEMAS Y PAQUETES INFORMÁTICOS</t>
  </si>
  <si>
    <t>PRESUPUESTO INSTITUCIONAL DEL AÑO 2025</t>
  </si>
  <si>
    <t>PROGRAMA:</t>
  </si>
  <si>
    <t>INGRESOS AÑO 2025</t>
  </si>
  <si>
    <t>SUBTOTAL</t>
  </si>
  <si>
    <t>1.1</t>
  </si>
  <si>
    <t>IMPUESTOS</t>
  </si>
  <si>
    <t>1.1.01.</t>
  </si>
  <si>
    <t>SOBRE LA RENTA, UTILIDAD Y GANANCIAS DE CAPITAL</t>
  </si>
  <si>
    <t>1.1.01.02</t>
  </si>
  <si>
    <t>A LA UTILIDAD POR LA VENTA DE PREDIOS URBANOS Y PLUSVALIA</t>
  </si>
  <si>
    <t>1.1.01.03</t>
  </si>
  <si>
    <t>A LA UTILIDAD POR LA VENTA DE PREDIOS RURALES</t>
  </si>
  <si>
    <t>1.1.02.</t>
  </si>
  <si>
    <t>SOBRE LA PROPIEDAD</t>
  </si>
  <si>
    <t>1.1.02.01</t>
  </si>
  <si>
    <t>A LOS PREDIOS URBANOS</t>
  </si>
  <si>
    <t>1.1.02.02</t>
  </si>
  <si>
    <t>A LOS PREDIOS RUSTICOS</t>
  </si>
  <si>
    <t>1.1.02.03</t>
  </si>
  <si>
    <t>A LA INSCRIPCION EN EL REGISTRO DE LA PROPIEDAD O EN EL REGISTRO MERCANTIL</t>
  </si>
  <si>
    <t>1.1.02.05</t>
  </si>
  <si>
    <t>DE VEHICULOS MOTORIZADOS DE TRANSPORTE TERRESTRE</t>
  </si>
  <si>
    <t>1.1.02.06</t>
  </si>
  <si>
    <t>IMPUESTO DE ALCABALAS</t>
  </si>
  <si>
    <t>1.1.02.07</t>
  </si>
  <si>
    <t>A LOS ACTIVOS TOTALES</t>
  </si>
  <si>
    <t>1.1.07</t>
  </si>
  <si>
    <t>IMPUESTOS DIVERSOS</t>
  </si>
  <si>
    <t>1.1.07.04</t>
  </si>
  <si>
    <t>PATENTES COMERCIALES, INDUSTRIALES, FINANCIERAS, INMOBILIARIAS, PROFESIONALES Y DE SERVICIO</t>
  </si>
  <si>
    <t>1.3</t>
  </si>
  <si>
    <t>TASAS Y CONTRIBUCIONES</t>
  </si>
  <si>
    <t>1.3.01</t>
  </si>
  <si>
    <t>TASAS GENERALES</t>
  </si>
  <si>
    <t>1.3.01.03</t>
  </si>
  <si>
    <t>OCUPACION DE LUGARES PUBLICOS VIAS</t>
  </si>
  <si>
    <t>1.3.01.08</t>
  </si>
  <si>
    <t>PRESTACION DE SERVICIOS</t>
  </si>
  <si>
    <t>1.3.01.09</t>
  </si>
  <si>
    <t>RODAJE DE VEHÍCULOS MOTORIZADOS</t>
  </si>
  <si>
    <t>1.3.01.11</t>
  </si>
  <si>
    <t>INSCRIPCIONES, REGISTROS Y MATRICULAS (MATRICULACION VEHICULAR)</t>
  </si>
  <si>
    <t>1.3.01.12</t>
  </si>
  <si>
    <t xml:space="preserve">PERMISOS, LICENCIAS Y PATENTES </t>
  </si>
  <si>
    <t>1.3.01.16</t>
  </si>
  <si>
    <t>RECOLECCION DE BASURA Y ASEO PÚBLICO</t>
  </si>
  <si>
    <t>1.3.01.17</t>
  </si>
  <si>
    <t>AFERICION DE PESAS Y MEDIDAS</t>
  </si>
  <si>
    <t>1.3.01.18</t>
  </si>
  <si>
    <t>APROBACION DE PLANOS E INSPECCION DE CONSTRUCCIONES</t>
  </si>
  <si>
    <t>1.3.01.20</t>
  </si>
  <si>
    <t>CONEXIÓN Y RECONEXION DEL SERVICIO DE ALCANTARILLADO Y CANALIZACION</t>
  </si>
  <si>
    <t>1.3.01.21</t>
  </si>
  <si>
    <t>CONEXIÓN Y RECONEXION DEL SERVICIO DE AGUA POTABLE</t>
  </si>
  <si>
    <t>1.3.01.31</t>
  </si>
  <si>
    <t>1.3.04.</t>
  </si>
  <si>
    <t>CONTRIBUCIONES</t>
  </si>
  <si>
    <t>1.3.04.06</t>
  </si>
  <si>
    <t>APERTURA, PAVIMENTACION, ENSANCHE Y CONSTRUCCION DE VIAS DE TODA CLASE</t>
  </si>
  <si>
    <t>1.3.04.08</t>
  </si>
  <si>
    <t>ACERAS, BORDILLOS Y CERCAS</t>
  </si>
  <si>
    <t>1.3.04.09</t>
  </si>
  <si>
    <t>OBRAS DE ALCANTARILLADO Y CANALIZACION</t>
  </si>
  <si>
    <t>1.3.04.11</t>
  </si>
  <si>
    <t>CONSTRUCCION Y AMPLIACION DE OBRAS Y SISTEMAS DE AGUA POTABLE</t>
  </si>
  <si>
    <t>1.3.04.14</t>
  </si>
  <si>
    <t>CONTRIBUCION ADICIONAL A LOS C.B. POR ALUMBRADO ELECTRICO</t>
  </si>
  <si>
    <t>1.3.04.99.01</t>
  </si>
  <si>
    <t>ADOQUINADO</t>
  </si>
  <si>
    <t>1.4</t>
  </si>
  <si>
    <t>VENTA DE BIENES Y SERVICIOS</t>
  </si>
  <si>
    <t>1.4.02.</t>
  </si>
  <si>
    <t>VENTA DE PRODUCTOS Y MATERIALES</t>
  </si>
  <si>
    <t>1.4.02.06</t>
  </si>
  <si>
    <t>MATERIALES Y ACCESORIOS DE INSTALACIONES DE AGUA POTABLE</t>
  </si>
  <si>
    <t>1.4.02.07</t>
  </si>
  <si>
    <t>MATERIALES Y ACCESORIOS DE ALCANTARILLADO Y CANALIZACION</t>
  </si>
  <si>
    <t>1.4.03.</t>
  </si>
  <si>
    <t>VENTAS NO INDUSTRIALES</t>
  </si>
  <si>
    <t>1.4.03.01</t>
  </si>
  <si>
    <t>1.4.03.03</t>
  </si>
  <si>
    <t>ALCANTARILLADO</t>
  </si>
  <si>
    <t>1.4.03.99</t>
  </si>
  <si>
    <t>OTROS SERVICIOS TÉCNICOS Y ESPECIALIZADOS</t>
  </si>
  <si>
    <t>1.4.03.99.03</t>
  </si>
  <si>
    <t>SERVICIOS DE INQUILINATO</t>
  </si>
  <si>
    <t>1.4.03.99.06</t>
  </si>
  <si>
    <t>PROCESAMIENTO DE DATOS</t>
  </si>
  <si>
    <t>1.4.03.99.07</t>
  </si>
  <si>
    <t>FONDOS AJENOS 10%</t>
  </si>
  <si>
    <t>1.4.03.99.08</t>
  </si>
  <si>
    <t>SERVICIOS ADMINISTRATIVOS REGISTRO DE LA PROPIEDAD</t>
  </si>
  <si>
    <t>1.4.03.99.09</t>
  </si>
  <si>
    <t>SERVICIO DE INSCRIPCION DE TRANSITO</t>
  </si>
  <si>
    <t>1.7</t>
  </si>
  <si>
    <t>RENTAS DE INVERSIONES</t>
  </si>
  <si>
    <t>1.7.02.</t>
  </si>
  <si>
    <t>RENTAS POR ARRENDAMIENTO DE BIENES</t>
  </si>
  <si>
    <t>1.7.02.02</t>
  </si>
  <si>
    <t>EDIFICIOS LOCALES Y RESIDENCIAS</t>
  </si>
  <si>
    <t>1.7.02.99</t>
  </si>
  <si>
    <t>CEMENTERIO</t>
  </si>
  <si>
    <t>1.7.03.</t>
  </si>
  <si>
    <t>INTERESES POR MORA</t>
  </si>
  <si>
    <t>1.7.03.01</t>
  </si>
  <si>
    <t>TRIBUTARIA</t>
  </si>
  <si>
    <t>OBLIGACION TRIBUTARIA COACTIVAS</t>
  </si>
  <si>
    <t>1.7.04.</t>
  </si>
  <si>
    <t>MULTAS</t>
  </si>
  <si>
    <t>1.7.04.99</t>
  </si>
  <si>
    <t>OTRAS MULTAS</t>
  </si>
  <si>
    <t>1.7.04.04</t>
  </si>
  <si>
    <t>INCUMPLIMIENTO DE CONTRATOS</t>
  </si>
  <si>
    <t>1.8</t>
  </si>
  <si>
    <t>TRANSFERENCIAS Y DONACIONES CORRIENTES</t>
  </si>
  <si>
    <t>1.8.06</t>
  </si>
  <si>
    <t>APORTES Y PARTICIPACIONES CORRIENTES DE GAD Y REGÍMENES ESPECIALES</t>
  </si>
  <si>
    <t>1.8.06.01</t>
  </si>
  <si>
    <t>DE COMPENSACIONES A GOBIERNOS AUTÓNOMOS DESCENTRALIZADOS MUNICIPALES POR LEYES Y DECRETOS</t>
  </si>
  <si>
    <t>DE COMPENSACIONES A GOBIERNOS AUTÓNOMOS DESCENTRALIZADOS MUNICIPALES POR LEYES Y DECRETOS - SALDO ANTERIOR</t>
  </si>
  <si>
    <t>1.8.06.43</t>
  </si>
  <si>
    <t>DEL PGE A LOS GAD MUNICIPALES PARA EL EJERCICIO DE LA COMPETENCIA DE TRANSITO, TRANSPORTE TERRESTRE Y SEGURIDAD VIAL</t>
  </si>
  <si>
    <t>1.9</t>
  </si>
  <si>
    <t>OTROS INGRESOS</t>
  </si>
  <si>
    <t>1.9.04</t>
  </si>
  <si>
    <t>OTROS NO OPERACIONALES</t>
  </si>
  <si>
    <t>1.9.04.07</t>
  </si>
  <si>
    <t>DEVOLUCIÓN DE DISPONIBILIDADES</t>
  </si>
  <si>
    <t>1.9.04.99</t>
  </si>
  <si>
    <t>OTROS NO ESPECIFICADOS</t>
  </si>
  <si>
    <t>2  INGRESOS NO PERMANENTES</t>
  </si>
  <si>
    <t>2.4</t>
  </si>
  <si>
    <t>TRANSFERENCIAS Y DONACIONES DE CAPITAL E INVERSION</t>
  </si>
  <si>
    <t>2.4.02</t>
  </si>
  <si>
    <t>BIENES INMUEBLES</t>
  </si>
  <si>
    <t>2.4.02.01</t>
  </si>
  <si>
    <t>TERRENOS</t>
  </si>
  <si>
    <t>2.8.01</t>
  </si>
  <si>
    <t>TRANSFERENCIAS O DONACIONES DE CAPITAL E INVERSIÓN DEL SECTOR PUBLICO</t>
  </si>
  <si>
    <t>2.8.01.03</t>
  </si>
  <si>
    <t>DE EMPRESAS PÚBLICAS</t>
  </si>
  <si>
    <t>2.8.01.06</t>
  </si>
  <si>
    <t>DE ENTIDADES FINANCIERAS PUBLICAS</t>
  </si>
  <si>
    <t>2.8.01.08</t>
  </si>
  <si>
    <t>DE CUENTAS O FONDOS ESPECIALES</t>
  </si>
  <si>
    <t>2.8.06</t>
  </si>
  <si>
    <t>APORTES Y PARTICIPACIONES DE CAPITAL E INVERSIONA LOS GAD Y REGIMENES ESPECIALES</t>
  </si>
  <si>
    <t>2.8.06.01</t>
  </si>
  <si>
    <t>DE COMPENSACION A GAD MUNICIPALES POR LEYES Y DECRETOS</t>
  </si>
  <si>
    <t xml:space="preserve">FONDO DE DESARROLLO AMAZÓNICO </t>
  </si>
  <si>
    <t>LEY ESPECIAL DE DISTRIBUCIÓN DEL 15% DEL PGE COOTAD 70%</t>
  </si>
  <si>
    <t>LEY ESPECIAL DE DISTRIBUCIÓN DEL 15% DEL PGE COOTAD 70% SALDO</t>
  </si>
  <si>
    <t>2.8.10</t>
  </si>
  <si>
    <t>ASIGNACION PRESUPUESTARIA DE VALORES EQUIVALENTES AL IMPUESTO AL VALOR AGREGADO (IVA)</t>
  </si>
  <si>
    <t>2.8.10.02</t>
  </si>
  <si>
    <t xml:space="preserve">DEL PGE A LOS GAD MUNICIPALES   </t>
  </si>
  <si>
    <t>3  INGRESOS DE FINANCIAMIENTO</t>
  </si>
  <si>
    <t>3.6</t>
  </si>
  <si>
    <t>SALDOS DISPONIBLES</t>
  </si>
  <si>
    <t>3.6.02</t>
  </si>
  <si>
    <t>FINANCIAMIENTO PUBLICO INTERNO</t>
  </si>
  <si>
    <t>3.6.02.01</t>
  </si>
  <si>
    <t>DEL SECTOR PUBLICO FINANCIERO</t>
  </si>
  <si>
    <t>3.7.01</t>
  </si>
  <si>
    <t>SALDOS EN CAJA Y BANCOS</t>
  </si>
  <si>
    <t>3.7.01.01</t>
  </si>
  <si>
    <t>DE FONDOS DEL PRESUPUESTO GENERAL DEL ESTADO</t>
  </si>
  <si>
    <t>3.7.01.03</t>
  </si>
  <si>
    <t>DE FONDOS PREASIGNADOS</t>
  </si>
  <si>
    <t>3.7.01.04</t>
  </si>
  <si>
    <t>DE PRESTAMOS</t>
  </si>
  <si>
    <t>3.7.01.05</t>
  </si>
  <si>
    <t>DE DONACIONES</t>
  </si>
  <si>
    <t>3.8</t>
  </si>
  <si>
    <t>CUENTAS PENDIENTES POR COBRAR</t>
  </si>
  <si>
    <t>3.8.01</t>
  </si>
  <si>
    <t>3.8.01.01</t>
  </si>
  <si>
    <t>3.8.01.07</t>
  </si>
  <si>
    <t>DE ANTICIPOS POR DEVENGAR DE EJERCICIOS ANTERIORES DE GAD Y EMPRESAS PÚBLICAS - COMPRAS DE BIENES Y SERVICIOS</t>
  </si>
  <si>
    <t>3.8.01.08</t>
  </si>
  <si>
    <t>DE ANTICIPOS POR DEVENGAR DE EJERCICIOS ANTERIORES DE GAD Y EMPRESAS PÚBLICAS - CONSTRUCCIÓN DE OBRAS</t>
  </si>
  <si>
    <t>FINANCIAMIENTO PÚBLICO</t>
  </si>
  <si>
    <t>1  INGRESOS CORRIENTES</t>
  </si>
  <si>
    <t>REDUCCIÓN</t>
  </si>
  <si>
    <t>TRASPASO</t>
  </si>
  <si>
    <t>DETALLE</t>
  </si>
  <si>
    <t>VALOR USD</t>
  </si>
  <si>
    <t>FECHA DE APROBACIÓN</t>
  </si>
  <si>
    <t>PRESUPUESTO INICIAL</t>
  </si>
  <si>
    <t>USD. 2.019.469,47</t>
  </si>
  <si>
    <t>Resolución Nro. 032-COMANDANCIA-CBMCP-2024.</t>
  </si>
  <si>
    <t>PRIMERA REFORMA</t>
  </si>
  <si>
    <t>USD.    213.450,09</t>
  </si>
  <si>
    <t>Resolución Administrativa Nro. 002-CAP-CBMCP-2025</t>
  </si>
  <si>
    <t>PRESUPUESTO CODIFICADO 2025</t>
  </si>
  <si>
    <t>USD. 2.232.919,56</t>
  </si>
  <si>
    <t>NIVEL 1</t>
  </si>
  <si>
    <t>RECAUDADO</t>
  </si>
  <si>
    <t>% DEVENGADO</t>
  </si>
  <si>
    <t>Ingresos corrientes</t>
  </si>
  <si>
    <t>Ingresos de capital</t>
  </si>
  <si>
    <t>-</t>
  </si>
  <si>
    <t>Ingresos de Financiamiento</t>
  </si>
  <si>
    <t>TOTAL DE INGRESOS</t>
  </si>
  <si>
    <t>NIVEL 2</t>
  </si>
  <si>
    <t>EJECUCIÓN DE INGRESOS POR GRUPOS</t>
  </si>
  <si>
    <t>DE ENERO A JULIO DEL 2025</t>
  </si>
  <si>
    <t>GRUPO</t>
  </si>
  <si>
    <t>DESCRIPCIÓN</t>
  </si>
  <si>
    <t>INICIAL</t>
  </si>
  <si>
    <t>REFORMAS</t>
  </si>
  <si>
    <t>% EJECUCIÓN</t>
  </si>
  <si>
    <t>RENTA DE INVERSIONES Y MULTAS</t>
  </si>
  <si>
    <t>3.7</t>
  </si>
  <si>
    <t>TOTAL INGRESOS CBMCP</t>
  </si>
  <si>
    <t>VARIACIONES:</t>
  </si>
  <si>
    <t>VARIACIÓN</t>
  </si>
  <si>
    <t>% VARIACIÓN</t>
  </si>
  <si>
    <t>Prestación De Servicios</t>
  </si>
  <si>
    <t>Permisos, Licencias Y Patentes</t>
  </si>
  <si>
    <t>1.3.02.18</t>
  </si>
  <si>
    <t>Aprobación de planos</t>
  </si>
  <si>
    <t>Contribucion Predial A Favor De Los Cuerpos De Bomberos</t>
  </si>
  <si>
    <t>1.3.01.99.001</t>
  </si>
  <si>
    <t>Esp. Fiscales (Solicitud De Inspeción)</t>
  </si>
  <si>
    <t>Contribución Adicional A Los C.B. Por Alumbrado Eléctrico</t>
  </si>
  <si>
    <t>TOTAL TASAS Y CONTRIBUCIONES</t>
  </si>
  <si>
    <t>Otros Servicios Técnicos Y Especializados</t>
  </si>
  <si>
    <t>TOTAL VENTA DE BIENES Y SERVICIOS</t>
  </si>
  <si>
    <t>RENTAS DE INVERSIONES Y MULTAS</t>
  </si>
  <si>
    <t>1.7.04.02</t>
  </si>
  <si>
    <t>Infracción a Ordenanzas Municipales</t>
  </si>
  <si>
    <t>Incumplimientos de Contratos</t>
  </si>
  <si>
    <t>Otras Multas</t>
  </si>
  <si>
    <t>TOTAL RENTAS DE INVERSIÓN Y MULTAS</t>
  </si>
  <si>
    <t>1.9.04.04</t>
  </si>
  <si>
    <t>Recaudaciones por Obligaciones de Terceros Canceladas a la Seguridad Social</t>
  </si>
  <si>
    <t>1.9.04.05</t>
  </si>
  <si>
    <t>Ingresos de Bienes Provenientes de Chatarrización</t>
  </si>
  <si>
    <t>Otros No Operacionales</t>
  </si>
  <si>
    <t>TOTAL OTROS INGRESOS</t>
  </si>
  <si>
    <t>3.7,01.02</t>
  </si>
  <si>
    <t>De Fondos de Autogestión (Caja-Bancos)</t>
  </si>
  <si>
    <t>De Fondos Preasignados</t>
  </si>
  <si>
    <t>De Cuentas por Cobrar</t>
  </si>
  <si>
    <t xml:space="preserve">Anticipos por Devengar de Ejercicios Anteriores de GAD's y Empresas Públicas - Compra de
Bienes y/o Servicios </t>
  </si>
  <si>
    <t>TOTAL INGRESOS DE FINANCIAMIENTO</t>
  </si>
  <si>
    <t>REPORTE DE INGRESOS</t>
  </si>
  <si>
    <t>PERIODO: DEL 01 DE ENERO AL 31 DE JULIO DEL 2025</t>
  </si>
  <si>
    <t>DETALLE DE INGRESOS</t>
  </si>
  <si>
    <t>PARTIDA:</t>
  </si>
  <si>
    <t>DENOMINACIÓN:</t>
  </si>
  <si>
    <t>Esp. Fiscales (Solicitud De Inspecion)</t>
  </si>
  <si>
    <t>Contibucion Adicional A Los C.B. Por Alumbrado Electrico</t>
  </si>
  <si>
    <t>MES/AÑO</t>
  </si>
  <si>
    <t>ENERO</t>
  </si>
  <si>
    <t>FEBRERO</t>
  </si>
  <si>
    <t>MARZO</t>
  </si>
  <si>
    <t>ABRIL</t>
  </si>
  <si>
    <t>MAYO</t>
  </si>
  <si>
    <t>DICIEMBRE</t>
  </si>
  <si>
    <t>TOTAL:</t>
  </si>
  <si>
    <t>POA CODIFICADO ACTUAL</t>
  </si>
  <si>
    <t xml:space="preserve">DISMINUCIÓN/AUMENTO </t>
  </si>
  <si>
    <t xml:space="preserve">SUPLEMENTO </t>
  </si>
  <si>
    <t>Otras multas</t>
  </si>
  <si>
    <t>INFRACCIÓN A ORDENANZAS MUNICIPALES</t>
  </si>
  <si>
    <t>3.7.01.02</t>
  </si>
  <si>
    <t>DE FONDOS DE AUTOGESTIÓN (CAJA-BANCOS)</t>
  </si>
  <si>
    <t>CUENTAS POR COBRAR</t>
  </si>
  <si>
    <t>3.7,01.03</t>
  </si>
  <si>
    <t>AL 31 DICIEMBRE</t>
  </si>
  <si>
    <t>AL 31/07/2025</t>
  </si>
  <si>
    <t>El incremento observado en la cuenta 3.7.01.03 – Fondos preasignados, no corresponde a una mayor gestión recaudatoria en el período 2024–2025, sino a la acumulación de saldos no ejecutados en los ejercicios 2022 y 2023. Estos recursos se encuentran en caja/bancos como remanentes de proyectos y procesos contractuales no realizados, lo cual se evidencia en los estados financieros y en los reportes SIG-AME. Mi gestión inició en febrero de 2024, fecha desde la cual se han implementado medidas de control y programación para optimizar la ejecución de los recursos disponibles</t>
  </si>
  <si>
    <t>PORCENTAJE DE VARIACIÓN</t>
  </si>
  <si>
    <t>GESTIÓN DE INSPECCIÓN TÉCNICA Y SEGURIDAD CONTRA INCENDIOS</t>
  </si>
  <si>
    <t>FASE PREPARATORA</t>
  </si>
  <si>
    <t xml:space="preserve">INCREMENTO </t>
  </si>
  <si>
    <t>GESTIÓN DE COMUNICACIÓN SOCIAL</t>
  </si>
  <si>
    <t>GESTIÓN DE INSPECCIÓN TÉCNICA Y SEGURIDAD CONTRA
INCENDIOS</t>
  </si>
  <si>
    <t>GESTIÓN OPERATIVA / GESTIÓN DE ATENCIÓN PREHOSPITALARIA</t>
  </si>
  <si>
    <t>GESTIÓN OPERATIVA / GESTIÓN DE RESCATE Y SALVAMENTO</t>
  </si>
  <si>
    <t>GESTIÓN OPERATIVA / GESTIÓN DE INCENDIOS</t>
  </si>
  <si>
    <t>PROGRAMA ACTUAL</t>
  </si>
  <si>
    <t>PROGRAMA REFORMA</t>
  </si>
  <si>
    <t>SUB JEFATURA (GESTIÓN GENERAL OPERATIVA)</t>
  </si>
  <si>
    <t>DIRECCIÓN ADMINISTRATIVA FINANCIERA</t>
  </si>
  <si>
    <t>GESTIÓN ADMINISTRATIVA Y LOGISTICA / GESTIÓN DE TECNOLOGÍA Y COMUNICACIONES.</t>
  </si>
  <si>
    <t>GESTIÓN ADMINISTRATIVA Y LOGISTICA / GESTIÓN DE BIENES Y ALMACENAMIENTO</t>
  </si>
  <si>
    <t>GESTIÓN ADMINISTRATIVA Y LOGISTICA / GESTIÓN DE MECÁNICA Y TRANSPORTE</t>
  </si>
  <si>
    <t>GESTIÓN ADMINISTRATIVA Y LOGISTICA / GESTIÓN DE SERVICIOS GENERALES Y MANTENIMIENTO</t>
  </si>
  <si>
    <t>GESTÓN DE COMUNICACIÓN SOCIAL</t>
  </si>
  <si>
    <t xml:space="preserve">PROGRAMA </t>
  </si>
  <si>
    <t>PROGRAMA: DIRECCIÓN ADMINISTRATIVA FINANCIERA</t>
  </si>
  <si>
    <t>GESTIÓN OPERATIVA / GESTIÓN DE FORMACIÓN, ESPECIALIZACIÓN Y CAPACITACIÓN DE BOMBEROS</t>
  </si>
  <si>
    <t>TOTAL DIRECCIÓN ADMINISTRATIVA FINANCIERA</t>
  </si>
  <si>
    <t>TOTAL SUB JEFATURA (GESTIÓN GENERAL OPERATIVA)</t>
  </si>
  <si>
    <t>TOTAL PROGRAMAS</t>
  </si>
  <si>
    <t>N. equipos de aires acondicionados funcionales</t>
  </si>
  <si>
    <t>Ambulancia opertativa</t>
  </si>
  <si>
    <t>Nro. De bombas de succión operativas</t>
  </si>
  <si>
    <t>Atención de emergencias prehospitalarias</t>
  </si>
  <si>
    <t>Suministros disponibles</t>
  </si>
  <si>
    <t>Material de oficina disponible</t>
  </si>
  <si>
    <t>Material de aseo disponible</t>
  </si>
  <si>
    <t>Material de aseo dispdaible</t>
  </si>
  <si>
    <t>Material de impresión fotografia reproducción y publicaciones dispdaible</t>
  </si>
  <si>
    <t>CUENTAS POR COBRAR (IVA AÑOS ANTERIORES)</t>
  </si>
  <si>
    <t>SERVICIOS MÉDICOS HOSPITALARIOS Y COMPLEMENTARIOS</t>
  </si>
  <si>
    <t>MATERIALES DE OFICINA</t>
  </si>
  <si>
    <t>MATERIALES DE ASEO</t>
  </si>
  <si>
    <t>NUEVO CODIFICADO 2025</t>
  </si>
  <si>
    <t>CODIFICADO 2027</t>
  </si>
  <si>
    <t>HERRAMIENTAS</t>
  </si>
  <si>
    <t>PARTES Y REPUESTOS</t>
  </si>
  <si>
    <t>EQUIPOS MÉDICOS</t>
  </si>
  <si>
    <t xml:space="preserve"> Codificado</t>
  </si>
  <si>
    <t>Nuevo</t>
  </si>
  <si>
    <t>Reforma</t>
  </si>
  <si>
    <t>Codificado</t>
  </si>
  <si>
    <t xml:space="preserve">PROGRAMA: </t>
  </si>
  <si>
    <t>GASTOS DE INVERSIÓN</t>
  </si>
  <si>
    <t>Equilibrio</t>
  </si>
  <si>
    <t>Segunda</t>
  </si>
  <si>
    <t>Ingresos</t>
  </si>
  <si>
    <t>Gastos</t>
  </si>
  <si>
    <t>5.3.08.03</t>
  </si>
  <si>
    <t>Lubricantes</t>
  </si>
  <si>
    <t>Insumos, Materiales y Suministros para Construcción, Electricidad, Plomería, Carpintería, Señalización Vial,
Navegación, Contra Incendios y Placas</t>
  </si>
  <si>
    <t>FONDOS A RENDIR CTAS</t>
  </si>
  <si>
    <t>FONDOS A RENDIR CUENTAS</t>
  </si>
  <si>
    <t>su. Ingresos</t>
  </si>
  <si>
    <t>s. gast</t>
  </si>
  <si>
    <t>r. ingre</t>
  </si>
  <si>
    <t>r. gast</t>
  </si>
  <si>
    <t xml:space="preserve">PROGRAMA:    </t>
  </si>
  <si>
    <t>TOTALES</t>
  </si>
  <si>
    <t>Certificación POA Nro. CBMCP-CAF-CERT-065-2025</t>
  </si>
  <si>
    <t>Nro. 66</t>
  </si>
  <si>
    <t>Nro. 224</t>
  </si>
  <si>
    <t>Nro. 230</t>
  </si>
  <si>
    <t>Nro. 64</t>
  </si>
  <si>
    <t>Certificación POA Nro. CBMCP-CAF-CERT-063-2025</t>
  </si>
  <si>
    <t>Nro. 216</t>
  </si>
  <si>
    <t>Nro. 55</t>
  </si>
  <si>
    <t>Certificación POA Nro. CBMCP-CAF-CERT-056-2025</t>
  </si>
  <si>
    <t>Nro. 62</t>
  </si>
  <si>
    <t>Certificación POA Nro. CBMCP-CAF-CERT-061-2025</t>
  </si>
  <si>
    <t>Nro. 212</t>
  </si>
  <si>
    <t>Nro. 59
Nro. 41</t>
  </si>
  <si>
    <t>Nro. 198
Nro. 101</t>
  </si>
  <si>
    <t>Certificación POA Nro. CBMCP-CAF-CERT-059-2025
Certificación POA Nro. CBMCP-CAF-CERT-041-2025</t>
  </si>
  <si>
    <t>Nro. 65</t>
  </si>
  <si>
    <t>Certificación POA Nro. CBMCP-CAF-CERT-064-2025</t>
  </si>
  <si>
    <t>REFORMA PAC</t>
  </si>
  <si>
    <t>ESTUDIO DE MERCADO</t>
  </si>
  <si>
    <t>ACTUALIZACIÓN DE DOCUMENTACIÓN</t>
  </si>
  <si>
    <t>LIBERACIÓN DE RECURSOS</t>
  </si>
  <si>
    <t>% AVANCE</t>
  </si>
  <si>
    <t>OJEDA OLGER</t>
  </si>
  <si>
    <t>SIN EJECUCIÓN</t>
  </si>
  <si>
    <t>VALOR ECONÓMICO</t>
  </si>
  <si>
    <t>PLURIANUAL</t>
  </si>
  <si>
    <t>COMPROMETIDO 2025</t>
  </si>
  <si>
    <t>COMPROMETIDO0</t>
  </si>
  <si>
    <t>TOTAL DE PROGRAMAS</t>
  </si>
  <si>
    <t>CUMPLE / NO CUMPLE</t>
  </si>
  <si>
    <t>Certificación POA Nro. CBMCP-CAF-CERT-068-2025
Certificación POA Nro. CBMCP-CAF-CERT-059-2025
Certificación POA Nro. CBMCP-CAF-CERT-041-2025
Certificación POA Nro. CBMCP-CAF-CERT-011-2025</t>
  </si>
  <si>
    <t>Nro. 69
Nro. 59
Nro. 41
Nro.11</t>
  </si>
  <si>
    <t>Certificación POA Nro. CBMCP-CAF-CERT-070-2025</t>
  </si>
  <si>
    <t>Nro. 71</t>
  </si>
  <si>
    <t>NOVENO TRASPASO</t>
  </si>
  <si>
    <t>MANTENIMIENTO PREVENTIVO COMPUTADOR ESCRITORIO SOFTWARE LIBRE 12</t>
  </si>
  <si>
    <t>MANTENIMIENTO PREVENTIVO COMPUTADOR ESCRITORIO SOFTWARE LIBRE 14</t>
  </si>
  <si>
    <t>MANTENIMIENTO PREVENTIVO IMPRESORA LASER MODELO 7</t>
  </si>
  <si>
    <t>ADQUISICIÓN DE SUMINISTROS DE IMPRESIÓN CATALOGADO</t>
  </si>
  <si>
    <t>ADQUISICIÓN DE LUBRICANTES, ADITIVOS, REPUESTOS Y ACCESORIOS PARA EL MANTENIMIENTO PREVENTIVO Y CORRECTIVO DE LA FLOTA VEHICULAR DEL CBMCP</t>
  </si>
  <si>
    <t>Nro. 72
Nro. 60
Nro. 50</t>
  </si>
  <si>
    <t>Nro. 73
Nro. 44</t>
  </si>
  <si>
    <t>Certificación POA Nro. CBMCP-CAF-CERT-073-2025</t>
  </si>
  <si>
    <t>Nro. 74</t>
  </si>
  <si>
    <t>ARRENDAMIENTO DEL SISTEMA INFORMATICO PARA EL CUERPO DE BOMBEROS MUNICIPAL DEL CANTÓN PASTAZA</t>
  </si>
  <si>
    <t>Certificación POA Nro. CBMCP-CAF-CERT-072-2025
Certificación POA Nro. CBMCP-CAF-CERT-044-2025</t>
  </si>
  <si>
    <t>Nro. 75
Nro. 43</t>
  </si>
  <si>
    <t>Certificación POA Nro. CBMCP-CAF-CERT-075-2025</t>
  </si>
  <si>
    <t>Nro. 76</t>
  </si>
  <si>
    <t>PROCESOS DE CONTRATACIÓN 2025</t>
  </si>
  <si>
    <t>ITEM</t>
  </si>
  <si>
    <t>OBJETO DE CONTRATACIÓN</t>
  </si>
  <si>
    <t>PROCEDIMIENTO</t>
  </si>
  <si>
    <t>V. REFERENCIAL</t>
  </si>
  <si>
    <t>PUBLICADO</t>
  </si>
  <si>
    <t>RESPONSABLE</t>
  </si>
  <si>
    <t>SUBASTA INVERSA</t>
  </si>
  <si>
    <t>https://www.compraspublicas.gob.ec/ProcesoContratacion/compras/PC/informacionProcesoContratacion2.cpe?idSoliCompra=i4Ab_tvLo97yjJOZJqud7hrim3tSbVDHLDZZI23ziuI,</t>
  </si>
  <si>
    <t>2025-11-17 20:00:00 
Fecha máxima para solventar cualquier inquietud relacionada al Proceso de Contratación.</t>
  </si>
  <si>
    <t>Comisión Técnica</t>
  </si>
  <si>
    <t xml:space="preserve">“ADQUISICON DE  EQUIPOS DE PROTECCIÓN PERSONAL NIVEL 1 Y FORESTALES “ </t>
  </si>
  <si>
    <t>https://www.compraspublicas.gob.ec/ProcesoContratacion/compras/PC/informacionProcesoContratacion2.cpe?idSoliCompra=ltPHDYW7U7AJjVktJ-qei2KtenJM89yNEpe28C62BgE,</t>
  </si>
  <si>
    <t>2025-11-13 20:00:00 Fecha máxima para solventar cualquier inquietud relacionada al Proceso de Contratación.</t>
  </si>
  <si>
    <t>INFIAM CUANTIA</t>
  </si>
  <si>
    <t>https://www.compraspublicas.gob.ec/ProcesoContratacion/compras/NCO/NCORegistroDetalle.cpe?&amp;id=Sq1kwxYV9yRj9eudo7HfF3NDzKAKnMpbMNqKazPks0M,&amp;op=0</t>
  </si>
  <si>
    <t>Fecha Límite para la entrega de Proformas:
2025-11-12 16:00:00</t>
  </si>
  <si>
    <t>Olger Ojeda</t>
  </si>
  <si>
    <t>https://www.compraspublicas.gob.ec/ProcesoContratacion/compras/NCO/NCORegistroDetalle.cpe?&amp;id=RQzxLfbfg-i7EytMHsE878JDK6ro8UGGngy0Cy_hi1M,&amp;op=0</t>
  </si>
  <si>
    <t xml:space="preserve">INFIMA CUANTIA </t>
  </si>
  <si>
    <t>https://www.compraspublicas.gob.ec/ProcesoContratacion/compras/NCO/NCORegistroDetalle.cpe?&amp;id=CYTkxKSpXSO-8LXFsK-Zp8SxQYVDegFRDVx2yNBbG1s,&amp;op=0</t>
  </si>
  <si>
    <t>En elaboración de Instrumento para determinar el presupuesto referencial. 12/11/2025</t>
  </si>
  <si>
    <t>Fernando Zambrano</t>
  </si>
  <si>
    <t>https://www.compraspublicas.gob.ec/ProcesoContratacion/compras/NCO/NCORegistroDetalle.cpe?&amp;id=fCdf0xiPe_wL0d1W1F_flYqys_CXIIKUMlbXWx7JGck,&amp;op=0</t>
  </si>
  <si>
    <t>Por publicar.
12/11/2025</t>
  </si>
  <si>
    <t>Marco Naveda</t>
  </si>
  <si>
    <t>https://www.compraspublicas.gob.ec/ProcesoContratacion/compras/NCO/NCORegistroDetalle.cpe?&amp;id=pEzaDkJWKXywfh-Nvi3W-LfCSi4m6u8iegrIzAfsEbA,&amp;op=0</t>
  </si>
  <si>
    <t>Danilo Estacio</t>
  </si>
  <si>
    <t>ADQUISICIÓN DE UNIFORMES PARA EL PERSONAL OPERATIVO DEL CBMCP”</t>
  </si>
  <si>
    <t xml:space="preserve">CATALOGO ELECTRONICO </t>
  </si>
  <si>
    <t>REVISIÓN DE LA FASE PREPARATORIA</t>
  </si>
  <si>
    <t>Stalin Medina</t>
  </si>
  <si>
    <t>Erick Sisalima</t>
  </si>
  <si>
    <t>MANTENIMIENTO PREVENTIVO POR VIGENCIA TECNOLOGICA DE EQUIPOS INFORMATICOS IMPRESORA</t>
  </si>
  <si>
    <t>MANTENIMIENTO PREVENTIVO POR VIGENCIA TECNOLOGICA DE EQUIPOS INFORMATICOS COMPUTADOR ESCRITORIO QUASAD</t>
  </si>
  <si>
    <t>MANTENIMIENTO PREVENTIVO POR VIGENCIA TECNOLOGICA DE EQUIPOS INFORMATICOS COMPUTADORA ESCRITORIO LASER</t>
  </si>
  <si>
    <t>ADQUISICON DE SUMINISTROS DE IMPRESIÓN CATALOGADO</t>
  </si>
  <si>
    <t>ADQUISICON DE SUMINISTROS DE IMPRESIÓN  NO CATALOGADO</t>
  </si>
  <si>
    <t xml:space="preserve"> ADQUISICION DE SISTEMA INFORMATICO PARA EL CUERPO DE BOMBEROS MUNICIPAL DEL CANTÓN PASTAZA</t>
  </si>
  <si>
    <t>Poliza de vida</t>
  </si>
  <si>
    <t>NO HAY OFERENTES</t>
  </si>
  <si>
    <t>OBSERVACIONES</t>
  </si>
  <si>
    <t>NO PUBLICAR</t>
  </si>
  <si>
    <t>Nro. 262
Nro. 232
Nro. 194
Nro. 67</t>
  </si>
  <si>
    <t>Nro. 78
Nro. 67
Nro. 57
Nro. 37
Nro. 26</t>
  </si>
  <si>
    <t>Certificación POA Nro. CBMCP-CAF-CERT-079-2025
Certificación POA Nro. CBMCP-CAF-CERT-078-2025
Certificación POA Nro. CBMCP-CAF-CERT-069-2025</t>
  </si>
  <si>
    <t xml:space="preserve">
Nro. 80
Nro. 79
Nro. 70</t>
  </si>
  <si>
    <t>Nro. 81</t>
  </si>
  <si>
    <t>Certificación POA Nro. CBMCP-CAF-CERT-080-2025</t>
  </si>
  <si>
    <t>Certificación POA Nro. CBMCP-CAF-CERT-082-2025</t>
  </si>
  <si>
    <t>Nro. 83</t>
  </si>
  <si>
    <t>DECIMO TRASPASO</t>
  </si>
  <si>
    <t>5.3.04.02</t>
  </si>
  <si>
    <t>Edificios, Locales, Residencias y Cableado Estructurado (Instalación, Mantenimiento y Reparación</t>
  </si>
  <si>
    <t>Certificación POA Nro. CBMCP-CAF-CERT-071-2025
Certificación POA Nro. CBMCP-CAF-CERT-060-2025
Certificación POA Nro. CBMCP-CAF-CERT-051-2025</t>
  </si>
  <si>
    <t>EDIFICIOS, LOCALES, RESIDENCIAS Y CABLEADO ESTRUCTURADO (INSTALACIÓN, MANTENIMIENTO Y REPARACIÓN</t>
  </si>
  <si>
    <t>Certificación POA Nro. CBMCP-CAF-CERT-083-2025</t>
  </si>
  <si>
    <t>Certificación POA Nro. CBMCP-CAF-CERT-084-2025</t>
  </si>
  <si>
    <t>Nro. 85</t>
  </si>
  <si>
    <t>Nro. 86
Nro. 82</t>
  </si>
  <si>
    <t>Certificación POA Nro. CBMCP-CAF-CERT-085-2025
Certificación POA Nro. CBMCP-CAF-CERT-081-2025</t>
  </si>
  <si>
    <t>Certificación POA Nro. CBMCP-CAF-CERT-085-2025</t>
  </si>
  <si>
    <t>Nro. 86</t>
  </si>
  <si>
    <t>Nro. 264</t>
  </si>
  <si>
    <t>Certificación POA Nro. CBMCP-CAF-CERT-088-2025</t>
  </si>
  <si>
    <t>Certificación POA Nro. CBMCP-CAF-CERT-089-2025</t>
  </si>
  <si>
    <t>Nro. 90</t>
  </si>
  <si>
    <t>Certificación POA Nro. CBMCP-CAF-CERT-077-2025
Certificación POA Nro. CBMCP-CAF-CERT-066-2025
Certificación POA Nro. CBMCP-CAF-CERT-058-2025
Certificación POA Nro. CBMCP-CAF-CERT-037-2025
Certificación POA Nro. CBMCP-CAF-CERT-035-2025
Certificación POA Nro. CBMCP-CAF-CERT-025-2025.
Certificación POA Nro. CBMCP-CAF-CERT-023-2025.</t>
  </si>
  <si>
    <t>Nro. 84</t>
  </si>
  <si>
    <t>Certificación POA Nro. CBMCP-CAF-CERT-086-2025
Certificación POA Nro. CBMCP-CAF-CERT-057-2025</t>
  </si>
  <si>
    <t>Nro. 87
Nro. 56</t>
  </si>
  <si>
    <t>Nro. 89</t>
  </si>
  <si>
    <t>Certificación POA Nro. CBMCP-CAF-CERT-090-2025
Certificación POA Nro. CBMCP-CAF-CERT-077-2025
Certificación POA Nro. CBMCP-CAF-CERT-067-2025
Certificación POA Nro. CBMCP-CAF-CERT-066-2025
Certificación POA Nro. CBMCP-CAF-CERT-058-2025
Certificación POA Nro. CBMCP-CAF-CERT-045-2025
Certificación POA Nro. CBMCP-CAF-CERT-037-2025
Certificación POA Nro. CBMCP-CAF-CERT-035-2025
Certificación POA Nro. CBMCP-CAF-CERT-023-2025.
Certificación POA Nro. CBMCP-CAF-CERT-008-2025.
Certificación POA Nro. CBMCP-CAF-CERT-007-2025</t>
  </si>
  <si>
    <t>Certificación POA Nro. CBMCP-CAF-CERT-090-2025
Certificación POA Nro. CBMCP-CAF-CERT-087-2025
Certificación POA Nro. CBMCP-CAF-CERT-067-2025
Certificación POA Nro. CBMCP-CAF-CERT-054-2025
Certificación POA Nro. CBMCP-CAF-CERT-045-2025
Certificación POA Nro. CBMCP-CAF-CERT-008-2025.
Certificación POA Nro. CBMCP-CAF-CERT-007-2025</t>
  </si>
  <si>
    <t>Nro. 91
Nro. 78
Nro. 77
Nro. 68
Nro. 67
Nro. 57
Nro. 45
Nro. 37
Nro. 26
Nro. 08
Nro. 07</t>
  </si>
  <si>
    <t>Nro. 91
Nro. 78
Nro. 68
Nro. 67
Nro. 57
Nro. 45
Nro. 37
Nro. 26
Nro. 08
Nro. 07</t>
  </si>
  <si>
    <t>Nro. 91
Nro. 88
Nro. 68
Nro. 45
Nro. 08
Nro. 07</t>
  </si>
  <si>
    <t>Nro. 263</t>
  </si>
  <si>
    <t>Nro. 275
Nro. 211</t>
  </si>
  <si>
    <t>PERIODO: 01 DE ENERO AL 30 DE NOVIEMBRE DEL 2025</t>
  </si>
  <si>
    <t>MODIFICACIÓN PRESUPUESTARIAS DE INGRESOS</t>
  </si>
  <si>
    <t>Certificación POA Nro. CBMCP-CAF-CERT-091-2025
Certificación POA Nro. CBMCP-CAF-CERT-090-2025
Certificación POA Nro. CBMCP-CAF-CERT-077-2025
Certificación POA Nro. CBMCP-CAF-CERT-076-2025
Certificación POA Nro. CBMCP-CAF-CERT-067-2025
Certificación POA Nro. CBMCP-CAF-CERT-066-2025
Certificación POA Nro. CBMCP-CAF-CERT-058-2025
Certificación POA Nro. CBMCP-CAF-CERT-045-2025
Certificación POA Nro. CBMCP-CAF-CERT-037-2025
Certificación POA Nro. CBMCP-CAF-CERT-035-2025
Certificación POA Nro. CBMCP-CAF-CERT-025-2025.
Certificación POA Nro. CBMCP-CAF-CERT-023-2025.
Certificación POA Nro. CBMCP-CAF-CERT-008-2025.
Certificación POA Nro. CBMCP-CAF-CERT-007-2025</t>
  </si>
  <si>
    <t>Nro. 277
Nro. 250
Nro. 229
Nro. 206
Nro. 187
Nro. 161
Nro. 137
Nro. 120
Nro. 81
Nro. 56
Nro. 25
Nro. 01</t>
  </si>
  <si>
    <t>Nro. 280 Nro. 279
Nro. 249
Nro. 248
Nro. 235
Nro. 234
Nro. 202
Nro. 201
Nro. 179
Nro. 178
Nro. 157
Nro. 156
Nro. 140
Nro. 139
Nro. 114
Nro. 113
Nro. 85
Nro. 84
Nro. 58
Nro. 57
Nro. 28
Nro. 27
Nro. 06
Nro. 05</t>
  </si>
  <si>
    <t>Nro. 281
Nro. 258
Nro. 237
Nro. 203
Nro. 183
Nro. 158
Nro. 144
Nro. 112
Nro. 80
Nro. 63</t>
  </si>
  <si>
    <t>Certificación POA Nro. CBMCP-CAF-CERT-092-2025
Certificación POA Nro. CBMCP-CAF-CERT-005-2025</t>
  </si>
  <si>
    <t>N.- 93
Nro. 05</t>
  </si>
  <si>
    <t>Certificación POA Nro. CBMCP-CAF-CERT-093-2025</t>
  </si>
  <si>
    <t>Nro. 94</t>
  </si>
  <si>
    <t>Nro. 282                 
Nro. 252
Nro. 239
Nro. 207
Nro. 193
Nro. 165
Nro. 146
Nro. 124
Nro. 118
Nro. 79
Nro. 68
Nro. 42</t>
  </si>
  <si>
    <t>Nro. 285
Nro. 284
Nro. 260
Nro. 236
Nro. 210
Nro. 192
Nro. 164
Nro. 147
Nro. 127
Nro. 90
Nro. 66 
Nro. 38
Nro. 21</t>
  </si>
  <si>
    <t>Nro. 286
Nro. 251
Nro. 238
Nro. 238
Nro. 213
Nro. 182
Nro. 159
Nro. 145
Nro. 65</t>
  </si>
  <si>
    <t>Nro. 293
Nro. 278
Nro. 259
Nro. 246
Nro. 228
Nro. 209
Nro. 200
Nro. 191
Nro. 188
Nro. 163
Nro. 160
Nro. 125
Nro. 111
Nro. 89
Nro. 82
Nro. 59
Nro. 55
Nro. 34
Nro. 29
Nro. 24
Nro. 20
Nro. 19
Nro. 08
Nro. 04</t>
  </si>
  <si>
    <t>Certificación POA Nro. CBMCP-CAF-CERT-094-2025 
Certificación POA Nro. CBMCP-CAF-CERT-058-2025
Certificación POA Nro. CBMCP-CAF-CERT-037-2025
Certificación POA Nro. CBMCP-CAF-CERT-035-2025</t>
  </si>
  <si>
    <t>Nro. 95
Nro. 57
Nro. 37</t>
  </si>
  <si>
    <t>N.- 96</t>
  </si>
  <si>
    <t>Nro. CBMCP-CAF-CERT-095-2025</t>
  </si>
  <si>
    <t>Nro. CBMCP-CF-CERT-PLU-010-2025</t>
  </si>
  <si>
    <t>Nro. 294
Nro. 194
Nro. 93</t>
  </si>
  <si>
    <t>Nro. 296
Nro. 295</t>
  </si>
  <si>
    <t>Certificación POA Nro. CBMCP-CAF-CERT-096-2025
Certificación POA Nro. CBMCP-CAF-CERT-085-2025</t>
  </si>
  <si>
    <t>Nro. 97
Nro. 86</t>
  </si>
  <si>
    <t>Certificación POA Nro. CBMCP-CAF-CERT-096-2025
Certificación POA Nro. CBMCP-CAF-CERT-085-2025
Certificación POA Nro. CBMCP-CAF-CERT-056-2025</t>
  </si>
  <si>
    <t>Nro. 97
Nro. 86
Nro. 55</t>
  </si>
  <si>
    <t>Certificación POA Nro. CBMCP-CAF-CERT-096-2025</t>
  </si>
  <si>
    <t>Nro. 97</t>
  </si>
  <si>
    <t>Certificación POA Nro. CBMCP-CAF-CERT-097-2025
Certificación POA Nro. CBMCP-CAF-CERT-062-2025
Certificación POA Nro. CBMCP-CAF-CERT-053-2025
Certificación POA Nro. CBMCP-CAF-CERT-039-2025
Certificación POA Nro. CBMCP-CAF-CERT-036-2025
Certificación POA Nro. CBMCP-CAF-CERT-034-2025
Certificación POA Nro. CBMCP-CAF-CERT-023-2025
Certificación POA Nro. CBMCP-CAF-CERT-027-2025
Certificación POA Nro. CBMCP-CAF-CERT-026-2025
Certificación POA Nro. CBMCP-CAF-CERT-023-2025.
Certificación POA Nro. CBMCP-CAF-CERT-016-2025</t>
  </si>
  <si>
    <t>Nro. 98
Nro. 63
Nro. 52
Nro. 39
Nro. 36
Nro. 34
Nro. 28
Nro. 27
Nro. 24
Nro. 17</t>
  </si>
  <si>
    <t>Nro. 299
Nro. 264</t>
  </si>
  <si>
    <t>Nro. 302
Nro. 301
Nro. 300
Nro. 218
Nro. 217
Nro.175
Nro. 174
Nro. 173
Nro. 172
Nro. 104
Nro. 103
Nro. 102</t>
  </si>
  <si>
    <t>Nro. 303</t>
  </si>
  <si>
    <t>Nro. 304</t>
  </si>
  <si>
    <t>Nro. 305</t>
  </si>
  <si>
    <t>N.- 306</t>
  </si>
  <si>
    <t>Nro- 99</t>
  </si>
  <si>
    <t>Nro- 11</t>
  </si>
  <si>
    <t>Nro. 289
Nro. 261
Nro. 241
Nro. 208
Nro. 186
Nro. 162
Nro. 149
Nro. 141
Nro. 119
Nro. 83
Nro. 60
Nro. 26
Nro. 03</t>
  </si>
  <si>
    <t>Nro. 292
Nro. 291
Nro. 288</t>
  </si>
  <si>
    <t>Nro. 297
Nro. 290
Nro. 283</t>
  </si>
  <si>
    <t>Nro. 298
Nro. 264</t>
  </si>
  <si>
    <t>Nro. 298
Nro. 264
Nro. 216</t>
  </si>
  <si>
    <t>Nro. 298</t>
  </si>
  <si>
    <t>Nro. 309
Nro. 308
Nro. 307</t>
  </si>
  <si>
    <t>Nro. 313
Nro. 268
Nro. 219
Nro. 195
Nro. 170
Nro. 153
Nro. 132
Nro. 99
Nro. 73
Nro. 48
Nro. 10</t>
  </si>
  <si>
    <t>Nro. 313
Nro. 269
Nro. 262
Nro. 257
Nro. 256
Nro. 255
Nro. 254
Nro. 253
Nro. 232
Nro. 219
Nro. 195
Nro. 194
Nro. 170
Nro. 153
Nro. 132
Nro. 131
Nro. 99
Nro. 98
Nro. 93
Nro. 73
Nro. 72
Nro. 67
Nro. 48
Nro. 47
Nro. 10
Nro. 09</t>
  </si>
  <si>
    <t>Nro. 313
Nro. 268
Nro. 262
Nro. 232
Nro. 219
Nro. 195
Nro. 194
Nro. 177
Nro. 176
Nro. 170
Nro. 153
Nro. 132
Nro. 131
Nro. 99
Nro. 98
Nro. 93
Nro. 72
Nro. 72
Nro. 67
Nro. 48
Nro. 47
Nro. 10
Nro. 09</t>
  </si>
  <si>
    <t>Nro. 317
Nro. 316
Nro. 271
Nro. 270
Nro. 221
Nro. 198
Nro. 197
Nro. 171
Nro. 154
Nro. 133
Nro. 101
Nro. 100
Nro. 92
Nro. 49
Nro.11</t>
  </si>
  <si>
    <t>Nro. 318
Nro. 315
Nro. 312
Nro. 311
Nro. 310
Nro. 313
Nro. 274
Nro. 273
Nro. 268
Nro. 266
Nro. 265
Nro. 219
Nro. 220
Nro. 196
Nro. 195
Nro. 190
Nro. 170
Nro. 169
Nro. 153
Nro. 152
Nro. 132
Nro. 131
Nro. 99
Nro. 98
Nro. 73
Nro. 72
Nro. 48
Nro. 47
Nro. 10
Nro. 09</t>
  </si>
  <si>
    <t>Nro. 319
Nro. 318
Nro. 314
Nro. 312
Nro. 311
Nro. 310
Nro. 273
Nro. 266
Nro. 265
Nro. 220
Nro. 196
Nro. 169
Nro. 152
Nro. 131
Nro. 98
Nro. 72
Nro. 47
Nro. 09</t>
  </si>
  <si>
    <t>Nro. 320
Nro. 318
Nro. 314
Nro. 312
Nro. 313
Nro. 311
Nro. 273
Nro. 266
Nro. 219
Nro. 268
Nro. 220
Nro. 196
Nro. 195
Nro. 170
Nro. 169
Nro. 153
Nro. 152
Nro. 132
Nro. 131
Nro. 99
Nro. 98
Nro. 73
Nro. 72
Nro. 48
Nro. 47
Nro. 10
Nro. 09</t>
  </si>
  <si>
    <t>Nro. 322
Nro. 321
Nro. 225
Nro. 226
Nro. 227
Nro. 167
Nro. 166
Nro. 107
Nro. 106
Nro. 105
Nro. 95
Nro. 94
Nro. 77
Nro. 76
Nro. 75
Nro. 74
Nro. 71
Nro. 70
Nro. 69
Nro. 54
Nro. 53
Nro. 52
Nro. 51
Nro. 50</t>
  </si>
  <si>
    <t>Nro. 101
Nro. 91
Nro. 68
Nro. 45
Nro. 08
Nro. 07</t>
  </si>
  <si>
    <t>Nro. 100
Nro. 91
Nro. 68
Nro. 45
Nro. 08</t>
  </si>
  <si>
    <t>Certificación POA Nro. CBMCP-CAF-CERT-099-2025
Certificación POA Nro. CBMCP-CAF-CERT-090-2025
Certificación POA Nro. CBMCP-CAF-CERT-067-2025
Certificación POA Nro. CBMCP-CAF-CERT-045-2025
Certificación POA Nro. CBMCP-CAF-CERT-008-2025</t>
  </si>
  <si>
    <t>Certificación POA Nro. CBMCP-CAF-CERT-100-2025
Certificación POA Nro. CBMCP-CAF-CERT-090-2025
Certificación POA Nro. CBMCP-CAF-CERT-067-2025
Certificación POA Nro. CBMCP-CAF-CERT-045-2025
Certificación POA Nro. CBMCP-CAF-CERT-008-2025.
Certificación POA Nro. CBMCP-CAF-CERT-007-2025</t>
  </si>
  <si>
    <t>Certificación POA Nro. CBMCP-CAF-CERT-098-2025</t>
  </si>
  <si>
    <t>Nro. 323</t>
  </si>
  <si>
    <t>Nro. 326
Nro. 287
Nro. 276
Nro. 247
Nro. 231
Nro. 222
Nro. 204
Nro. 185
Nro. 180
Nro. 155
Nro. 143
Nro. 123
Nro. 86
Nro. 61
Nro. 23</t>
  </si>
  <si>
    <t>Nro. 327
Nro. 233
Nro. 205
Nro. 181
Nro. 142
Nro. 87
Nro. 22</t>
  </si>
  <si>
    <t>DEVENGADO 2025</t>
  </si>
  <si>
    <t>ASGINACIÓN INICIAL</t>
  </si>
  <si>
    <t>REFORMA</t>
  </si>
  <si>
    <t>recuada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</si>
</sst>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quot;$&quot;* #,##0.00_ ;_ &quot;$&quot;* \-#,##0.00_ ;_ &quot;$&quot;* &quot;-&quot;??_ ;_ @_ "/>
    <numFmt numFmtId="43" formatCode="_ * #,##0.00_ ;_ * \-#,##0.00_ ;_ * &quot;-&quot;??_ ;_ @_ "/>
    <numFmt numFmtId="164" formatCode="_(* #,##0.00_);_(* \(#,##0.00\);_(* &quot;-&quot;??_);_(@_)"/>
    <numFmt numFmtId="165" formatCode="_ &quot;$&quot;\ * #,##0.00_ ;_ &quot;$&quot;\ * \-#,##0.00_ ;_ &quot;$&quot;\ * &quot;-&quot;??_ ;_ @_ "/>
    <numFmt numFmtId="166" formatCode="#,##0.00;[Red]#,##0.00"/>
    <numFmt numFmtId="167" formatCode="dd/mm/yyyy;@"/>
    <numFmt numFmtId="168" formatCode="_(* #,##0_);_(* \(#,##0\);_(* &quot;-&quot;??_);_(@_)"/>
    <numFmt numFmtId="169" formatCode="#,##0_ ;\-#,##0\ "/>
    <numFmt numFmtId="170" formatCode="0.00;[Red]0.00"/>
  </numFmts>
  <fonts count="93" x14ac:knownFonts="1">
    <font>
      <sz val="11"/>
      <color theme="1"/>
      <name val="Calibri"/>
      <family val="2"/>
      <scheme val="minor"/>
    </font>
    <font>
      <sz val="11"/>
      <color theme="1"/>
      <name val="Calibri"/>
      <family val="2"/>
      <scheme val="minor"/>
    </font>
    <font>
      <b/>
      <sz val="26"/>
      <color theme="1"/>
      <name val="Arial"/>
      <family val="2"/>
    </font>
    <font>
      <sz val="26"/>
      <name val="Arial"/>
      <family val="2"/>
    </font>
    <font>
      <b/>
      <sz val="16"/>
      <color theme="1"/>
      <name val="Arial"/>
      <family val="2"/>
    </font>
    <font>
      <sz val="10"/>
      <name val="Arial"/>
      <family val="2"/>
    </font>
    <font>
      <b/>
      <sz val="16"/>
      <name val="Arial"/>
      <family val="2"/>
    </font>
    <font>
      <sz val="16"/>
      <name val="Arial"/>
      <family val="2"/>
    </font>
    <font>
      <sz val="16"/>
      <color theme="1"/>
      <name val="Arial"/>
      <family val="2"/>
    </font>
    <font>
      <sz val="16"/>
      <color rgb="FF000000"/>
      <name val="Arial"/>
      <family val="2"/>
    </font>
    <font>
      <sz val="16"/>
      <color rgb="FF000000"/>
      <name val="Times New Roman"/>
      <family val="1"/>
    </font>
    <font>
      <sz val="16"/>
      <color theme="1"/>
      <name val="Aptos"/>
      <family val="2"/>
    </font>
    <font>
      <sz val="16"/>
      <color theme="1"/>
      <name val="Calibri"/>
      <family val="2"/>
    </font>
    <font>
      <b/>
      <sz val="9"/>
      <color indexed="81"/>
      <name val="Tahoma"/>
      <family val="2"/>
    </font>
    <font>
      <sz val="9"/>
      <color indexed="81"/>
      <name val="Tahoma"/>
      <family val="2"/>
    </font>
    <font>
      <b/>
      <sz val="15"/>
      <color indexed="81"/>
      <name val="Tahoma"/>
      <family val="2"/>
    </font>
    <font>
      <sz val="15"/>
      <color indexed="81"/>
      <name val="Tahoma"/>
      <family val="2"/>
    </font>
    <font>
      <b/>
      <sz val="14"/>
      <color theme="1"/>
      <name val="Calibri Light"/>
      <family val="2"/>
      <scheme val="major"/>
    </font>
    <font>
      <sz val="14"/>
      <color theme="1"/>
      <name val="Calibri Light"/>
      <family val="2"/>
      <scheme val="major"/>
    </font>
    <font>
      <sz val="16"/>
      <color indexed="8"/>
      <name val="Arial"/>
      <family val="2"/>
    </font>
    <font>
      <sz val="8"/>
      <name val="Calibri"/>
      <family val="2"/>
      <scheme val="minor"/>
    </font>
    <font>
      <sz val="14"/>
      <color theme="1"/>
      <name val="Calibri"/>
      <family val="2"/>
      <scheme val="minor"/>
    </font>
    <font>
      <b/>
      <sz val="14"/>
      <color theme="1"/>
      <name val="Calibri"/>
      <family val="2"/>
      <scheme val="minor"/>
    </font>
    <font>
      <b/>
      <sz val="14"/>
      <color rgb="FFFFFFFF"/>
      <name val="Calibri Light"/>
      <family val="2"/>
    </font>
    <font>
      <sz val="14"/>
      <name val="Calibri Light"/>
      <family val="2"/>
    </font>
    <font>
      <b/>
      <sz val="14"/>
      <name val="Calibri Light"/>
      <family val="2"/>
    </font>
    <font>
      <sz val="26"/>
      <color rgb="FFFF0000"/>
      <name val="Arial"/>
      <family val="2"/>
    </font>
    <font>
      <sz val="16"/>
      <color rgb="FFFF0000"/>
      <name val="Arial"/>
      <family val="2"/>
    </font>
    <font>
      <sz val="14"/>
      <color theme="1"/>
      <name val="Calibri Light"/>
      <family val="2"/>
    </font>
    <font>
      <sz val="11"/>
      <color theme="1"/>
      <name val="Calibri Light"/>
      <family val="2"/>
      <scheme val="major"/>
    </font>
    <font>
      <sz val="11"/>
      <name val="Calibri Light"/>
      <family val="2"/>
      <scheme val="major"/>
    </font>
    <font>
      <sz val="11"/>
      <color rgb="FF000000"/>
      <name val="Calibri Light"/>
      <family val="2"/>
      <scheme val="major"/>
    </font>
    <font>
      <b/>
      <sz val="11"/>
      <color theme="1"/>
      <name val="Calibri Light"/>
      <family val="2"/>
      <scheme val="major"/>
    </font>
    <font>
      <b/>
      <sz val="11"/>
      <color theme="1"/>
      <name val="Calibri"/>
      <family val="2"/>
      <scheme val="minor"/>
    </font>
    <font>
      <b/>
      <sz val="12"/>
      <color theme="1"/>
      <name val="Times New Roman"/>
      <family val="1"/>
    </font>
    <font>
      <b/>
      <sz val="14"/>
      <color theme="1"/>
      <name val="Times New Roman"/>
      <family val="1"/>
    </font>
    <font>
      <sz val="11"/>
      <color theme="1"/>
      <name val="Times New Roman"/>
      <family val="1"/>
    </font>
    <font>
      <b/>
      <sz val="11"/>
      <color theme="1"/>
      <name val="Times New Roman"/>
      <family val="1"/>
    </font>
    <font>
      <b/>
      <sz val="11"/>
      <color theme="0"/>
      <name val="Times New Roman"/>
      <family val="1"/>
    </font>
    <font>
      <b/>
      <sz val="14"/>
      <color theme="0"/>
      <name val="Times New Roman"/>
      <family val="1"/>
    </font>
    <font>
      <b/>
      <sz val="11"/>
      <color rgb="FF002060"/>
      <name val="Times New Roman"/>
      <family val="1"/>
    </font>
    <font>
      <b/>
      <sz val="11"/>
      <name val="Times New Roman"/>
      <family val="1"/>
    </font>
    <font>
      <sz val="11"/>
      <name val="Times New Roman"/>
      <family val="1"/>
    </font>
    <font>
      <b/>
      <sz val="14"/>
      <name val="Times New Roman"/>
      <family val="1"/>
    </font>
    <font>
      <b/>
      <sz val="12"/>
      <name val="Times New Roman"/>
      <family val="1"/>
    </font>
    <font>
      <b/>
      <sz val="12"/>
      <color theme="0"/>
      <name val="Times New Roman"/>
      <family val="1"/>
    </font>
    <font>
      <sz val="11"/>
      <color rgb="FFFF0000"/>
      <name val="Times New Roman"/>
      <family val="1"/>
    </font>
    <font>
      <sz val="9"/>
      <name val="Arial"/>
      <family val="2"/>
    </font>
    <font>
      <sz val="9"/>
      <color theme="1"/>
      <name val="Times New Roman"/>
      <family val="1"/>
    </font>
    <font>
      <b/>
      <sz val="9"/>
      <color theme="1"/>
      <name val="Times New Roman"/>
      <family val="1"/>
    </font>
    <font>
      <b/>
      <sz val="9"/>
      <name val="Arial"/>
      <family val="2"/>
    </font>
    <font>
      <b/>
      <sz val="8"/>
      <color theme="1"/>
      <name val="Times New Roman"/>
      <family val="1"/>
    </font>
    <font>
      <b/>
      <sz val="11"/>
      <color theme="1"/>
      <name val="Calibri Light"/>
      <family val="2"/>
    </font>
    <font>
      <sz val="11"/>
      <color theme="1"/>
      <name val="Calibri Light"/>
      <family val="2"/>
    </font>
    <font>
      <b/>
      <sz val="11"/>
      <color rgb="FFFFFFFF"/>
      <name val="Calibri Light"/>
      <family val="2"/>
    </font>
    <font>
      <b/>
      <sz val="11"/>
      <color rgb="FF000000"/>
      <name val="Calibri Light"/>
      <family val="2"/>
    </font>
    <font>
      <sz val="11"/>
      <color rgb="FF000000"/>
      <name val="Calibri Light"/>
      <family val="2"/>
    </font>
    <font>
      <sz val="11"/>
      <color rgb="FF000000"/>
      <name val="Calibri"/>
      <family val="2"/>
      <scheme val="minor"/>
    </font>
    <font>
      <b/>
      <sz val="11"/>
      <color rgb="FFFFFFFF"/>
      <name val="Calibri"/>
      <family val="2"/>
      <scheme val="minor"/>
    </font>
    <font>
      <b/>
      <sz val="9"/>
      <color rgb="FF000000"/>
      <name val="Calibri Light"/>
      <family val="2"/>
    </font>
    <font>
      <sz val="9"/>
      <color rgb="FF000000"/>
      <name val="Calibri Light"/>
      <family val="2"/>
    </font>
    <font>
      <b/>
      <sz val="9"/>
      <color rgb="FFFFFFFF"/>
      <name val="Calibri Light"/>
      <family val="2"/>
    </font>
    <font>
      <b/>
      <u/>
      <sz val="11"/>
      <color theme="1"/>
      <name val="Calibri Light"/>
      <family val="2"/>
      <scheme val="major"/>
    </font>
    <font>
      <b/>
      <sz val="11"/>
      <color rgb="FFFF0000"/>
      <name val="Calibri Light"/>
      <family val="2"/>
      <scheme val="major"/>
    </font>
    <font>
      <sz val="16"/>
      <name val="Aptos"/>
      <family val="2"/>
    </font>
    <font>
      <sz val="14"/>
      <color rgb="FFFFFFFF"/>
      <name val="Calibri Light"/>
      <family val="2"/>
    </font>
    <font>
      <b/>
      <i/>
      <sz val="11"/>
      <color theme="1"/>
      <name val="Arial Narrow"/>
      <family val="2"/>
    </font>
    <font>
      <b/>
      <i/>
      <sz val="11"/>
      <color rgb="FF000000"/>
      <name val="Arial Narrow"/>
      <family val="2"/>
    </font>
    <font>
      <i/>
      <sz val="11"/>
      <color rgb="FF000000"/>
      <name val="Arial Narrow"/>
      <family val="2"/>
    </font>
    <font>
      <sz val="11"/>
      <color rgb="FF000000"/>
      <name val="Arial Narrow"/>
      <family val="2"/>
    </font>
    <font>
      <b/>
      <sz val="12"/>
      <color theme="1"/>
      <name val="Calibri Light"/>
      <family val="2"/>
      <scheme val="major"/>
    </font>
    <font>
      <b/>
      <sz val="12"/>
      <name val="Calibri Light"/>
      <family val="2"/>
      <scheme val="major"/>
    </font>
    <font>
      <b/>
      <sz val="12"/>
      <color theme="0"/>
      <name val="Calibri Light"/>
      <family val="2"/>
      <scheme val="major"/>
    </font>
    <font>
      <sz val="12"/>
      <color theme="1"/>
      <name val="Calibri Light"/>
      <family val="2"/>
      <scheme val="major"/>
    </font>
    <font>
      <sz val="12"/>
      <name val="Calibri Light"/>
      <family val="2"/>
      <scheme val="major"/>
    </font>
    <font>
      <b/>
      <sz val="12"/>
      <color rgb="FF0070C0"/>
      <name val="Calibri Light"/>
      <family val="2"/>
      <scheme val="major"/>
    </font>
    <font>
      <b/>
      <sz val="18"/>
      <color theme="1"/>
      <name val="Calibri Light"/>
      <family val="2"/>
      <scheme val="major"/>
    </font>
    <font>
      <b/>
      <sz val="36"/>
      <color theme="1"/>
      <name val="Calibri Light"/>
      <family val="2"/>
      <scheme val="major"/>
    </font>
    <font>
      <sz val="18"/>
      <color theme="1"/>
      <name val="Calibri"/>
      <family val="2"/>
      <scheme val="minor"/>
    </font>
    <font>
      <b/>
      <sz val="22"/>
      <color theme="1"/>
      <name val="Calibri"/>
      <family val="2"/>
      <scheme val="minor"/>
    </font>
    <font>
      <b/>
      <sz val="26"/>
      <color theme="1"/>
      <name val="Calibri"/>
      <family val="2"/>
      <scheme val="minor"/>
    </font>
    <font>
      <b/>
      <sz val="14"/>
      <color theme="0" tint="-4.9989318521683403E-2"/>
      <name val="Calibri"/>
      <family val="2"/>
      <scheme val="minor"/>
    </font>
    <font>
      <b/>
      <sz val="14"/>
      <color theme="0" tint="-4.9989318521683403E-2"/>
      <name val="Calibri Light"/>
      <family val="2"/>
      <scheme val="major"/>
    </font>
    <font>
      <sz val="11"/>
      <color rgb="FFFF0000"/>
      <name val="Calibri"/>
      <family val="2"/>
      <scheme val="minor"/>
    </font>
    <font>
      <b/>
      <sz val="16"/>
      <color theme="1"/>
      <name val="Calibri Light"/>
      <family val="2"/>
      <scheme val="major"/>
    </font>
    <font>
      <b/>
      <sz val="16"/>
      <color theme="1"/>
      <name val="Calibri"/>
      <family val="2"/>
      <scheme val="minor"/>
    </font>
    <font>
      <sz val="10"/>
      <color theme="1"/>
      <name val="Calibri Light"/>
      <family val="2"/>
      <scheme val="major"/>
    </font>
    <font>
      <b/>
      <sz val="10"/>
      <color theme="0"/>
      <name val="Calibri Light"/>
      <family val="2"/>
      <scheme val="major"/>
    </font>
    <font>
      <sz val="10"/>
      <color indexed="8"/>
      <name val="Calibri Light"/>
      <family val="2"/>
      <scheme val="major"/>
    </font>
    <font>
      <u/>
      <sz val="11"/>
      <color theme="10"/>
      <name val="Calibri"/>
      <family val="2"/>
      <scheme val="minor"/>
    </font>
    <font>
      <sz val="10"/>
      <color rgb="FFFF0000"/>
      <name val="Calibri Light"/>
      <family val="2"/>
      <scheme val="major"/>
    </font>
    <font>
      <u/>
      <sz val="11"/>
      <color rgb="FFFF0000"/>
      <name val="Calibri"/>
      <family val="2"/>
      <scheme val="minor"/>
    </font>
    <font>
      <b/>
      <sz val="10"/>
      <color theme="1"/>
      <name val="Calibri Light"/>
      <family val="2"/>
      <scheme val="major"/>
    </font>
  </fonts>
  <fills count="2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20A0A0"/>
        <bgColor indexed="64"/>
      </patternFill>
    </fill>
    <fill>
      <patternFill patternType="solid">
        <fgColor theme="5" tint="-0.249977111117893"/>
        <bgColor indexed="64"/>
      </patternFill>
    </fill>
    <fill>
      <patternFill patternType="solid">
        <fgColor rgb="FF000000"/>
        <bgColor indexed="64"/>
      </patternFill>
    </fill>
    <fill>
      <patternFill patternType="solid">
        <fgColor rgb="FFC00000"/>
        <bgColor indexed="64"/>
      </patternFill>
    </fill>
    <fill>
      <patternFill patternType="solid">
        <fgColor rgb="FFFF66CC"/>
        <bgColor indexed="64"/>
      </patternFill>
    </fill>
    <fill>
      <patternFill patternType="solid">
        <fgColor rgb="FF944FEF"/>
        <bgColor indexed="64"/>
      </patternFill>
    </fill>
    <fill>
      <patternFill patternType="solid">
        <fgColor rgb="FFFFFF00"/>
        <bgColor indexed="64"/>
      </patternFill>
    </fill>
    <fill>
      <patternFill patternType="solid">
        <fgColor rgb="FF00206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D9E2F3"/>
        <bgColor indexed="64"/>
      </patternFill>
    </fill>
    <fill>
      <patternFill patternType="solid">
        <fgColor rgb="FF2F5496"/>
        <bgColor indexed="64"/>
      </patternFill>
    </fill>
    <fill>
      <patternFill patternType="solid">
        <fgColor rgb="FF305496"/>
        <bgColor indexed="64"/>
      </patternFill>
    </fill>
    <fill>
      <patternFill patternType="solid">
        <fgColor rgb="FFD9E1F2"/>
        <bgColor indexed="64"/>
      </patternFill>
    </fill>
    <fill>
      <patternFill patternType="solid">
        <fgColor theme="9" tint="-0.249977111117893"/>
        <bgColor indexed="64"/>
      </patternFill>
    </fill>
    <fill>
      <patternFill patternType="solid">
        <fgColor rgb="FFFFFFFF"/>
        <bgColor indexed="64"/>
      </patternFill>
    </fill>
    <fill>
      <patternFill patternType="solid">
        <fgColor theme="8" tint="-0.499984740745262"/>
        <bgColor indexed="64"/>
      </patternFill>
    </fill>
    <fill>
      <patternFill patternType="solid">
        <fgColor theme="8"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rgb="FF002060"/>
      </left>
      <right/>
      <top/>
      <bottom/>
      <diagonal/>
    </border>
    <border>
      <left style="medium">
        <color rgb="FF002060"/>
      </left>
      <right style="medium">
        <color rgb="FF002060"/>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style="thin">
        <color auto="1"/>
      </top>
      <bottom style="thin">
        <color auto="1"/>
      </bottom>
      <diagonal/>
    </border>
    <border>
      <left/>
      <right/>
      <top style="medium">
        <color theme="0"/>
      </top>
      <bottom style="medium">
        <color theme="0"/>
      </bottom>
      <diagonal/>
    </border>
    <border>
      <left style="medium">
        <color theme="0"/>
      </left>
      <right/>
      <top/>
      <bottom/>
      <diagonal/>
    </border>
    <border>
      <left style="medium">
        <color theme="0"/>
      </left>
      <right/>
      <top/>
      <bottom style="medium">
        <color theme="0"/>
      </bottom>
      <diagonal/>
    </border>
    <border>
      <left style="medium">
        <color theme="0"/>
      </left>
      <right style="medium">
        <color theme="0"/>
      </right>
      <top/>
      <bottom/>
      <diagonal/>
    </border>
    <border>
      <left style="medium">
        <color theme="0"/>
      </left>
      <right/>
      <top style="medium">
        <color theme="0"/>
      </top>
      <bottom/>
      <diagonal/>
    </border>
    <border>
      <left style="medium">
        <color rgb="FF002060"/>
      </left>
      <right style="medium">
        <color rgb="FF002060"/>
      </right>
      <top style="medium">
        <color indexed="64"/>
      </top>
      <bottom style="medium">
        <color indexed="64"/>
      </bottom>
      <diagonal/>
    </border>
    <border>
      <left style="medium">
        <color rgb="FF002060"/>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theme="0"/>
      </left>
      <right style="medium">
        <color theme="0"/>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theme="0"/>
      </top>
      <bottom/>
      <diagonal/>
    </border>
    <border>
      <left/>
      <right style="medium">
        <color theme="0"/>
      </right>
      <top style="medium">
        <color theme="0"/>
      </top>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medium">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165" fontId="5" fillId="0" borderId="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89" fillId="0" borderId="0" applyNumberFormat="0" applyFill="0" applyBorder="0" applyAlignment="0" applyProtection="0"/>
  </cellStyleXfs>
  <cellXfs count="807">
    <xf numFmtId="0" fontId="0" fillId="0" borderId="0" xfId="0"/>
    <xf numFmtId="0" fontId="3" fillId="2" borderId="0" xfId="0" applyFont="1" applyFill="1"/>
    <xf numFmtId="0" fontId="7" fillId="2" borderId="0" xfId="0" applyFont="1" applyFill="1"/>
    <xf numFmtId="0" fontId="7" fillId="2" borderId="0" xfId="0" applyFont="1" applyFill="1" applyAlignment="1">
      <alignment horizontal="center" vertical="center"/>
    </xf>
    <xf numFmtId="0" fontId="8" fillId="0" borderId="1" xfId="0" applyFont="1" applyBorder="1" applyAlignment="1">
      <alignment horizontal="center" vertical="center" textRotation="90"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0" borderId="1" xfId="0" applyFont="1" applyBorder="1" applyAlignment="1">
      <alignment horizontal="center" vertical="center" textRotation="90"/>
    </xf>
    <xf numFmtId="0" fontId="8" fillId="0" borderId="1" xfId="0" applyFont="1" applyBorder="1" applyAlignment="1">
      <alignment horizontal="center" vertical="center" textRotation="90"/>
    </xf>
    <xf numFmtId="0" fontId="8" fillId="7" borderId="1" xfId="0" applyFont="1" applyFill="1" applyBorder="1" applyAlignment="1">
      <alignment horizontal="center" vertical="center" textRotation="90"/>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textRotation="90"/>
    </xf>
    <xf numFmtId="40" fontId="7" fillId="2" borderId="1" xfId="0" applyNumberFormat="1" applyFont="1" applyFill="1" applyBorder="1" applyAlignment="1">
      <alignment horizontal="right" vertical="center"/>
    </xf>
    <xf numFmtId="9" fontId="7" fillId="2" borderId="1" xfId="0" applyNumberFormat="1" applyFont="1" applyFill="1" applyBorder="1" applyAlignment="1">
      <alignment horizontal="center" vertical="center"/>
    </xf>
    <xf numFmtId="0" fontId="7" fillId="2" borderId="0" xfId="0" applyFont="1" applyFill="1" applyAlignment="1">
      <alignment vertical="center"/>
    </xf>
    <xf numFmtId="4" fontId="7" fillId="2" borderId="1" xfId="0" applyNumberFormat="1" applyFont="1" applyFill="1" applyBorder="1" applyAlignment="1">
      <alignment horizontal="right" vertical="center"/>
    </xf>
    <xf numFmtId="166" fontId="7" fillId="2" borderId="1" xfId="6" applyNumberFormat="1" applyFont="1" applyFill="1" applyBorder="1" applyAlignment="1">
      <alignment horizontal="right" vertical="center"/>
    </xf>
    <xf numFmtId="0" fontId="7" fillId="0" borderId="1" xfId="0" applyFont="1" applyBorder="1" applyAlignment="1">
      <alignment horizontal="center" vertical="center"/>
    </xf>
    <xf numFmtId="166" fontId="7" fillId="0" borderId="1" xfId="6" applyNumberFormat="1" applyFont="1" applyFill="1" applyBorder="1" applyAlignment="1">
      <alignment horizontal="right" vertical="center"/>
    </xf>
    <xf numFmtId="0" fontId="8" fillId="2"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textRotation="90" wrapText="1"/>
    </xf>
    <xf numFmtId="0" fontId="8" fillId="7" borderId="1" xfId="0" applyFont="1" applyFill="1" applyBorder="1" applyAlignment="1">
      <alignment horizontal="center" vertical="center" textRotation="90" wrapText="1"/>
    </xf>
    <xf numFmtId="166" fontId="7" fillId="0" borderId="1" xfId="0" applyNumberFormat="1" applyFont="1" applyBorder="1" applyAlignment="1">
      <alignment horizontal="right" vertical="center" wrapText="1"/>
    </xf>
    <xf numFmtId="9" fontId="7" fillId="2" borderId="1" xfId="0" applyNumberFormat="1" applyFont="1" applyFill="1" applyBorder="1" applyAlignment="1">
      <alignment horizontal="center" vertical="center" wrapText="1"/>
    </xf>
    <xf numFmtId="0" fontId="7" fillId="2" borderId="0" xfId="0" applyFont="1" applyFill="1" applyAlignment="1">
      <alignment vertical="center" wrapText="1"/>
    </xf>
    <xf numFmtId="166" fontId="7"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7" fillId="0" borderId="1" xfId="0" applyFont="1" applyBorder="1" applyAlignment="1">
      <alignment horizontal="center" vertical="center" textRotation="90"/>
    </xf>
    <xf numFmtId="0" fontId="7" fillId="2" borderId="1" xfId="0" applyFont="1" applyFill="1" applyBorder="1" applyAlignment="1">
      <alignment vertical="center"/>
    </xf>
    <xf numFmtId="0" fontId="9" fillId="0" borderId="1" xfId="0" applyFont="1" applyBorder="1" applyAlignment="1">
      <alignment horizontal="justify" vertical="center"/>
    </xf>
    <xf numFmtId="0" fontId="7" fillId="0" borderId="1" xfId="0" applyFont="1" applyBorder="1" applyAlignment="1">
      <alignment horizontal="center" vertical="center" textRotation="90" wrapText="1"/>
    </xf>
    <xf numFmtId="164" fontId="7" fillId="2" borderId="1" xfId="7" applyFont="1" applyFill="1" applyBorder="1" applyAlignment="1">
      <alignment horizontal="center" vertical="center"/>
    </xf>
    <xf numFmtId="43" fontId="7" fillId="2" borderId="1" xfId="1" applyFont="1" applyFill="1" applyBorder="1" applyAlignment="1">
      <alignment horizontal="center" vertical="center"/>
    </xf>
    <xf numFmtId="0" fontId="10" fillId="0" borderId="1" xfId="0" applyFont="1" applyBorder="1" applyAlignment="1">
      <alignment horizontal="justify"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9" fillId="2" borderId="1" xfId="0" applyFont="1" applyFill="1" applyBorder="1" applyAlignment="1">
      <alignment horizontal="center" vertical="center" wrapText="1"/>
    </xf>
    <xf numFmtId="0" fontId="7" fillId="2" borderId="0" xfId="0" applyFont="1" applyFill="1" applyAlignment="1">
      <alignment horizontal="center"/>
    </xf>
    <xf numFmtId="0" fontId="7" fillId="2" borderId="0" xfId="0" applyFont="1" applyFill="1" applyAlignment="1">
      <alignment horizontal="center" wrapText="1"/>
    </xf>
    <xf numFmtId="164" fontId="7" fillId="2" borderId="0" xfId="7" applyFont="1" applyFill="1" applyAlignment="1">
      <alignment horizontal="right" vertical="center"/>
    </xf>
    <xf numFmtId="0" fontId="7" fillId="2" borderId="0" xfId="0" applyFont="1" applyFill="1" applyAlignment="1">
      <alignment horizontal="right" vertical="center"/>
    </xf>
    <xf numFmtId="0" fontId="8" fillId="8" borderId="1" xfId="0" applyFont="1" applyFill="1" applyBorder="1" applyAlignment="1">
      <alignment vertical="center" wrapText="1"/>
    </xf>
    <xf numFmtId="0" fontId="8" fillId="8" borderId="1" xfId="0" applyFont="1" applyFill="1" applyBorder="1" applyAlignment="1">
      <alignment horizontal="center" vertical="center" wrapText="1"/>
    </xf>
    <xf numFmtId="0" fontId="7" fillId="8"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9" fillId="8" borderId="1" xfId="0" applyFont="1" applyFill="1" applyBorder="1" applyAlignment="1">
      <alignment horizontal="justify" vertical="center"/>
    </xf>
    <xf numFmtId="0" fontId="12" fillId="8" borderId="1" xfId="0" applyFont="1" applyFill="1" applyBorder="1" applyAlignment="1">
      <alignment horizontal="justify" vertical="center"/>
    </xf>
    <xf numFmtId="0" fontId="3" fillId="2" borderId="0" xfId="0" applyFont="1" applyFill="1" applyAlignment="1">
      <alignment vertical="center"/>
    </xf>
    <xf numFmtId="9" fontId="7" fillId="7" borderId="1" xfId="0" applyNumberFormat="1" applyFont="1" applyFill="1" applyBorder="1" applyAlignment="1">
      <alignment horizontal="center" vertical="center"/>
    </xf>
    <xf numFmtId="9"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wrapText="1"/>
    </xf>
    <xf numFmtId="9" fontId="7" fillId="7" borderId="1" xfId="0" applyNumberFormat="1" applyFont="1" applyFill="1" applyBorder="1" applyAlignment="1">
      <alignment horizontal="center" vertical="center" wrapText="1"/>
    </xf>
    <xf numFmtId="167"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7" fillId="2" borderId="0" xfId="0" applyFont="1" applyFill="1" applyAlignment="1">
      <alignment horizontal="center" vertical="center" wrapText="1"/>
    </xf>
    <xf numFmtId="14"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17" fontId="8" fillId="0" borderId="1" xfId="0" applyNumberFormat="1" applyFont="1" applyBorder="1" applyAlignment="1">
      <alignment horizontal="center" vertical="center" wrapText="1"/>
    </xf>
    <xf numFmtId="0" fontId="19" fillId="2" borderId="1" xfId="3" applyFont="1" applyFill="1" applyBorder="1" applyAlignment="1">
      <alignment horizontal="center" vertical="center" wrapText="1"/>
    </xf>
    <xf numFmtId="14" fontId="7" fillId="0" borderId="1" xfId="0" applyNumberFormat="1" applyFont="1" applyBorder="1" applyAlignment="1">
      <alignment horizontal="center" vertical="center" wrapText="1"/>
    </xf>
    <xf numFmtId="17" fontId="7" fillId="2" borderId="1" xfId="0" applyNumberFormat="1" applyFont="1" applyFill="1" applyBorder="1" applyAlignment="1">
      <alignment horizontal="center" vertical="center" wrapText="1"/>
    </xf>
    <xf numFmtId="43" fontId="7" fillId="2" borderId="1" xfId="1" applyFont="1" applyFill="1" applyBorder="1" applyAlignment="1">
      <alignment vertical="center"/>
    </xf>
    <xf numFmtId="43" fontId="7" fillId="2" borderId="1" xfId="1" applyFont="1" applyFill="1" applyBorder="1" applyAlignment="1">
      <alignment horizontal="center" vertical="center" wrapText="1"/>
    </xf>
    <xf numFmtId="43" fontId="7" fillId="0" borderId="1" xfId="1" applyFont="1" applyBorder="1" applyAlignment="1">
      <alignment horizontal="right" vertical="center" wrapText="1"/>
    </xf>
    <xf numFmtId="0" fontId="7" fillId="2" borderId="7" xfId="0" applyFont="1" applyFill="1" applyBorder="1" applyAlignment="1">
      <alignment horizontal="center" vertical="center"/>
    </xf>
    <xf numFmtId="43" fontId="7" fillId="2" borderId="0" xfId="1" applyFont="1" applyFill="1"/>
    <xf numFmtId="43" fontId="7" fillId="2" borderId="1" xfId="1" applyFont="1" applyFill="1" applyBorder="1" applyAlignment="1">
      <alignment vertical="center" wrapText="1"/>
    </xf>
    <xf numFmtId="43" fontId="7" fillId="0" borderId="1" xfId="1" applyFont="1" applyFill="1" applyBorder="1" applyAlignment="1">
      <alignment horizontal="right" vertical="center" wrapText="1"/>
    </xf>
    <xf numFmtId="43" fontId="7" fillId="0" borderId="1" xfId="1" applyFont="1" applyFill="1" applyBorder="1" applyAlignment="1">
      <alignment horizontal="center" vertical="center"/>
    </xf>
    <xf numFmtId="0" fontId="7" fillId="7" borderId="1" xfId="0" applyFont="1" applyFill="1" applyBorder="1" applyAlignment="1">
      <alignment horizontal="center" vertical="center" wrapText="1"/>
    </xf>
    <xf numFmtId="0" fontId="3" fillId="2" borderId="0" xfId="0" applyFont="1" applyFill="1" applyAlignment="1">
      <alignment horizontal="center" vertical="center" wrapText="1"/>
    </xf>
    <xf numFmtId="43" fontId="6" fillId="11" borderId="1" xfId="1" applyFont="1" applyFill="1" applyBorder="1" applyAlignment="1">
      <alignment horizontal="center" vertical="center"/>
    </xf>
    <xf numFmtId="0" fontId="12" fillId="8" borderId="1" xfId="0" applyFont="1" applyFill="1" applyBorder="1" applyAlignment="1">
      <alignment horizontal="center" vertical="center" wrapText="1"/>
    </xf>
    <xf numFmtId="43" fontId="7" fillId="2" borderId="1" xfId="0" applyNumberFormat="1" applyFont="1" applyFill="1" applyBorder="1" applyAlignment="1">
      <alignment horizontal="center" vertical="center"/>
    </xf>
    <xf numFmtId="43" fontId="7" fillId="2" borderId="1" xfId="0" applyNumberFormat="1" applyFont="1" applyFill="1" applyBorder="1" applyAlignment="1">
      <alignment vertical="center"/>
    </xf>
    <xf numFmtId="43" fontId="3" fillId="2" borderId="0" xfId="1" applyFont="1" applyFill="1" applyAlignment="1">
      <alignment vertical="center"/>
    </xf>
    <xf numFmtId="43" fontId="3" fillId="2" borderId="0" xfId="1" applyFont="1" applyFill="1"/>
    <xf numFmtId="43" fontId="7" fillId="0" borderId="0" xfId="1" applyFont="1"/>
    <xf numFmtId="0" fontId="21" fillId="0" borderId="0" xfId="0" applyFont="1"/>
    <xf numFmtId="0" fontId="21" fillId="0" borderId="0" xfId="0" applyFont="1" applyAlignment="1">
      <alignment horizontal="center" vertical="center"/>
    </xf>
    <xf numFmtId="43" fontId="21" fillId="0" borderId="0" xfId="0" applyNumberFormat="1" applyFont="1"/>
    <xf numFmtId="0" fontId="25" fillId="0" borderId="0" xfId="0" applyFont="1" applyAlignment="1">
      <alignment horizontal="center" vertical="center" wrapText="1"/>
    </xf>
    <xf numFmtId="0" fontId="7" fillId="8" borderId="1" xfId="0" applyFont="1" applyFill="1" applyBorder="1" applyAlignment="1">
      <alignment horizontal="center" vertical="center" wrapText="1"/>
    </xf>
    <xf numFmtId="0" fontId="26" fillId="2" borderId="0" xfId="0" applyFont="1" applyFill="1" applyAlignment="1">
      <alignment vertical="center"/>
    </xf>
    <xf numFmtId="0" fontId="26" fillId="2" borderId="0" xfId="0" applyFont="1" applyFill="1" applyAlignment="1">
      <alignment horizontal="center" vertical="center"/>
    </xf>
    <xf numFmtId="43" fontId="26" fillId="2" borderId="0" xfId="1" applyFont="1" applyFill="1" applyAlignment="1">
      <alignment vertical="center"/>
    </xf>
    <xf numFmtId="0" fontId="26" fillId="2" borderId="0" xfId="0" applyFont="1" applyFill="1"/>
    <xf numFmtId="0" fontId="26" fillId="2" borderId="0" xfId="0" applyFont="1" applyFill="1" applyAlignment="1">
      <alignment horizontal="center"/>
    </xf>
    <xf numFmtId="43" fontId="26" fillId="2" borderId="0" xfId="1" applyFont="1" applyFill="1"/>
    <xf numFmtId="0" fontId="27" fillId="2" borderId="1" xfId="0" applyFont="1" applyFill="1" applyBorder="1" applyAlignment="1">
      <alignment vertical="center"/>
    </xf>
    <xf numFmtId="43" fontId="27" fillId="2" borderId="1" xfId="1" applyFont="1" applyFill="1" applyBorder="1" applyAlignment="1">
      <alignment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0" fontId="27" fillId="2" borderId="1" xfId="0" applyFont="1" applyFill="1" applyBorder="1" applyAlignment="1">
      <alignment horizontal="center" vertical="center"/>
    </xf>
    <xf numFmtId="43" fontId="27" fillId="2" borderId="1" xfId="1" applyFont="1" applyFill="1" applyBorder="1" applyAlignment="1">
      <alignment horizontal="center" vertical="center"/>
    </xf>
    <xf numFmtId="43" fontId="27" fillId="2" borderId="1" xfId="1" applyFont="1" applyFill="1" applyBorder="1" applyAlignment="1">
      <alignment vertical="center" wrapText="1"/>
    </xf>
    <xf numFmtId="0" fontId="27" fillId="2" borderId="0" xfId="0" applyFont="1" applyFill="1"/>
    <xf numFmtId="0" fontId="27" fillId="2" borderId="0" xfId="0" applyFont="1" applyFill="1" applyAlignment="1">
      <alignment horizontal="center"/>
    </xf>
    <xf numFmtId="43" fontId="27" fillId="0" borderId="0" xfId="1" applyFont="1"/>
    <xf numFmtId="43" fontId="27" fillId="2" borderId="0" xfId="1" applyFont="1" applyFill="1"/>
    <xf numFmtId="0" fontId="8" fillId="2" borderId="1" xfId="0" applyFont="1" applyFill="1" applyBorder="1" applyAlignment="1">
      <alignment vertical="center"/>
    </xf>
    <xf numFmtId="43" fontId="8" fillId="2" borderId="1" xfId="1" applyFont="1" applyFill="1" applyBorder="1" applyAlignment="1">
      <alignment vertical="center"/>
    </xf>
    <xf numFmtId="43" fontId="8" fillId="2" borderId="1" xfId="1" applyFont="1" applyFill="1" applyBorder="1" applyAlignment="1">
      <alignment vertical="center" wrapText="1"/>
    </xf>
    <xf numFmtId="0" fontId="8" fillId="2" borderId="1" xfId="0" applyFont="1" applyFill="1" applyBorder="1" applyAlignment="1">
      <alignment vertical="center" wrapText="1"/>
    </xf>
    <xf numFmtId="43" fontId="8" fillId="2" borderId="1" xfId="1" applyFont="1" applyFill="1" applyBorder="1" applyAlignment="1">
      <alignment horizontal="center" vertical="center"/>
    </xf>
    <xf numFmtId="43" fontId="21" fillId="0" borderId="0" xfId="1" applyFont="1"/>
    <xf numFmtId="9" fontId="6" fillId="3" borderId="1" xfId="2" applyFont="1" applyFill="1" applyBorder="1" applyAlignment="1">
      <alignment horizontal="center" vertical="center" wrapText="1"/>
    </xf>
    <xf numFmtId="0" fontId="6" fillId="15" borderId="1" xfId="3" applyFont="1" applyFill="1" applyBorder="1" applyAlignment="1">
      <alignment horizontal="center" vertical="center" wrapText="1"/>
    </xf>
    <xf numFmtId="4" fontId="7" fillId="2" borderId="1" xfId="0" applyNumberFormat="1" applyFont="1" applyFill="1" applyBorder="1" applyAlignment="1">
      <alignment vertical="center" wrapText="1"/>
    </xf>
    <xf numFmtId="0" fontId="22" fillId="0" borderId="0" xfId="0" applyFont="1" applyAlignment="1">
      <alignmen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18" fillId="0" borderId="1" xfId="0" applyFont="1" applyBorder="1" applyAlignment="1">
      <alignment horizontal="left" vertical="center" wrapText="1"/>
    </xf>
    <xf numFmtId="43" fontId="18" fillId="0" borderId="1" xfId="1" applyFont="1" applyFill="1" applyBorder="1" applyAlignment="1">
      <alignment vertical="center" wrapText="1"/>
    </xf>
    <xf numFmtId="10" fontId="17" fillId="0" borderId="1" xfId="2" applyNumberFormat="1" applyFont="1" applyFill="1" applyBorder="1" applyAlignment="1">
      <alignment horizontal="center" vertical="center" wrapText="1"/>
    </xf>
    <xf numFmtId="10" fontId="22" fillId="0" borderId="1" xfId="2" applyNumberFormat="1" applyFont="1" applyFill="1" applyBorder="1" applyAlignment="1">
      <alignment horizontal="center" vertical="center"/>
    </xf>
    <xf numFmtId="43" fontId="24" fillId="6" borderId="1" xfId="1" applyFont="1" applyFill="1" applyBorder="1" applyAlignment="1">
      <alignment horizontal="center" vertical="center" wrapText="1"/>
    </xf>
    <xf numFmtId="0" fontId="29" fillId="0" borderId="0" xfId="0" applyFont="1"/>
    <xf numFmtId="43" fontId="29" fillId="0" borderId="0" xfId="0" applyNumberFormat="1" applyFont="1"/>
    <xf numFmtId="0" fontId="29" fillId="0" borderId="1" xfId="0" applyFont="1" applyBorder="1" applyAlignment="1">
      <alignment vertical="center" wrapText="1"/>
    </xf>
    <xf numFmtId="43" fontId="29" fillId="0" borderId="1" xfId="0" applyNumberFormat="1" applyFont="1" applyBorder="1" applyAlignment="1">
      <alignment vertical="center"/>
    </xf>
    <xf numFmtId="0" fontId="29" fillId="0" borderId="1" xfId="0" applyFont="1" applyBorder="1" applyAlignment="1">
      <alignment vertical="center"/>
    </xf>
    <xf numFmtId="0" fontId="29" fillId="0" borderId="1" xfId="0" applyFont="1" applyBorder="1"/>
    <xf numFmtId="0" fontId="29" fillId="0" borderId="0" xfId="0" applyFont="1" applyAlignment="1">
      <alignment vertical="center"/>
    </xf>
    <xf numFmtId="0" fontId="11" fillId="2" borderId="1" xfId="0" applyFont="1" applyFill="1" applyBorder="1" applyAlignment="1">
      <alignment horizontal="center" vertical="center" wrapText="1"/>
    </xf>
    <xf numFmtId="0" fontId="9" fillId="2" borderId="1" xfId="0" applyFont="1" applyFill="1" applyBorder="1" applyAlignment="1">
      <alignment horizontal="center" vertical="center" textRotation="90"/>
    </xf>
    <xf numFmtId="43" fontId="7" fillId="2" borderId="0" xfId="1" applyFont="1" applyFill="1" applyAlignment="1">
      <alignment horizontal="center"/>
    </xf>
    <xf numFmtId="43" fontId="7" fillId="5" borderId="1" xfId="1" applyFont="1" applyFill="1" applyBorder="1" applyAlignment="1">
      <alignment horizontal="center" vertical="center" wrapText="1"/>
    </xf>
    <xf numFmtId="43" fontId="7" fillId="7" borderId="1" xfId="1" applyFont="1" applyFill="1" applyBorder="1" applyAlignment="1">
      <alignment horizontal="center" vertical="center" wrapText="1"/>
    </xf>
    <xf numFmtId="43" fontId="7" fillId="16" borderId="1" xfId="1" applyFont="1" applyFill="1" applyBorder="1" applyAlignment="1">
      <alignment horizontal="center" vertical="center" wrapText="1"/>
    </xf>
    <xf numFmtId="0" fontId="36" fillId="0" borderId="0" xfId="0" applyFont="1" applyAlignment="1">
      <alignment vertical="center"/>
    </xf>
    <xf numFmtId="0" fontId="36" fillId="0" borderId="0" xfId="0" applyFont="1"/>
    <xf numFmtId="0" fontId="37" fillId="0" borderId="0" xfId="0" applyFont="1" applyAlignment="1">
      <alignment vertical="center"/>
    </xf>
    <xf numFmtId="43" fontId="36" fillId="0" borderId="0" xfId="1" applyFont="1"/>
    <xf numFmtId="43" fontId="38" fillId="17" borderId="26" xfId="1" applyFont="1" applyFill="1" applyBorder="1" applyAlignment="1">
      <alignment horizontal="center" vertical="center" wrapText="1"/>
    </xf>
    <xf numFmtId="0" fontId="39" fillId="20" borderId="28" xfId="0" applyFont="1" applyFill="1" applyBorder="1"/>
    <xf numFmtId="0" fontId="39" fillId="20" borderId="29" xfId="0" applyFont="1" applyFill="1" applyBorder="1"/>
    <xf numFmtId="43" fontId="39" fillId="20" borderId="29" xfId="1" applyFont="1" applyFill="1" applyBorder="1"/>
    <xf numFmtId="0" fontId="35" fillId="0" borderId="0" xfId="0" applyFont="1"/>
    <xf numFmtId="0" fontId="40" fillId="19" borderId="29" xfId="0" applyFont="1" applyFill="1" applyBorder="1"/>
    <xf numFmtId="43" fontId="36" fillId="19" borderId="29" xfId="1" applyFont="1" applyFill="1" applyBorder="1"/>
    <xf numFmtId="43" fontId="37" fillId="19" borderId="29" xfId="1" applyFont="1" applyFill="1" applyBorder="1" applyAlignment="1">
      <alignment vertical="center"/>
    </xf>
    <xf numFmtId="0" fontId="41" fillId="0" borderId="28" xfId="0" applyFont="1" applyBorder="1"/>
    <xf numFmtId="0" fontId="41" fillId="0" borderId="29" xfId="0" applyFont="1" applyBorder="1" applyAlignment="1">
      <alignment wrapText="1"/>
    </xf>
    <xf numFmtId="43" fontId="42" fillId="0" borderId="29" xfId="1" applyFont="1" applyFill="1" applyBorder="1"/>
    <xf numFmtId="43" fontId="41" fillId="0" borderId="29" xfId="1" applyFont="1" applyFill="1" applyBorder="1" applyAlignment="1">
      <alignment vertical="center"/>
    </xf>
    <xf numFmtId="0" fontId="42" fillId="0" borderId="0" xfId="0" applyFont="1"/>
    <xf numFmtId="0" fontId="42" fillId="0" borderId="28" xfId="0" applyFont="1" applyBorder="1"/>
    <xf numFmtId="0" fontId="42" fillId="0" borderId="29" xfId="0" applyFont="1" applyBorder="1" applyAlignment="1">
      <alignment wrapText="1"/>
    </xf>
    <xf numFmtId="43" fontId="41" fillId="0" borderId="29" xfId="1" applyFont="1" applyFill="1" applyBorder="1"/>
    <xf numFmtId="0" fontId="42" fillId="0" borderId="29" xfId="0" applyFont="1" applyBorder="1"/>
    <xf numFmtId="0" fontId="41" fillId="0" borderId="29" xfId="0" applyFont="1" applyBorder="1"/>
    <xf numFmtId="0" fontId="40" fillId="19" borderId="29" xfId="0" applyFont="1" applyFill="1" applyBorder="1" applyAlignment="1">
      <alignment vertical="center"/>
    </xf>
    <xf numFmtId="43" fontId="36" fillId="19" borderId="29" xfId="1" applyFont="1" applyFill="1" applyBorder="1" applyAlignment="1">
      <alignment vertical="center"/>
    </xf>
    <xf numFmtId="0" fontId="41" fillId="0" borderId="28" xfId="0" applyFont="1" applyBorder="1" applyAlignment="1">
      <alignment horizontal="left" vertical="center"/>
    </xf>
    <xf numFmtId="0" fontId="41" fillId="0" borderId="29" xfId="0" applyFont="1" applyBorder="1" applyAlignment="1">
      <alignment vertical="center"/>
    </xf>
    <xf numFmtId="0" fontId="41" fillId="0" borderId="0" xfId="0" applyFont="1" applyAlignment="1">
      <alignment vertical="center"/>
    </xf>
    <xf numFmtId="0" fontId="42" fillId="0" borderId="28" xfId="0" applyFont="1" applyBorder="1" applyAlignment="1">
      <alignment horizontal="left" vertical="center"/>
    </xf>
    <xf numFmtId="0" fontId="42" fillId="0" borderId="29" xfId="0" applyFont="1" applyBorder="1" applyAlignment="1">
      <alignment vertical="center"/>
    </xf>
    <xf numFmtId="43" fontId="42" fillId="0" borderId="29" xfId="1" applyFont="1" applyFill="1" applyBorder="1" applyAlignment="1">
      <alignment vertical="center"/>
    </xf>
    <xf numFmtId="0" fontId="42" fillId="0" borderId="0" xfId="0" applyFont="1" applyAlignment="1">
      <alignment vertical="center"/>
    </xf>
    <xf numFmtId="0" fontId="42" fillId="0" borderId="29" xfId="0" applyFont="1" applyBorder="1" applyAlignment="1">
      <alignment vertical="center" wrapText="1"/>
    </xf>
    <xf numFmtId="0" fontId="39" fillId="20" borderId="28" xfId="0" applyFont="1" applyFill="1" applyBorder="1" applyAlignment="1">
      <alignment horizontal="left" vertical="center"/>
    </xf>
    <xf numFmtId="0" fontId="39" fillId="20" borderId="29" xfId="0" applyFont="1" applyFill="1" applyBorder="1" applyAlignment="1">
      <alignment vertical="center"/>
    </xf>
    <xf numFmtId="43" fontId="39" fillId="20" borderId="29" xfId="1" applyFont="1" applyFill="1" applyBorder="1" applyAlignment="1">
      <alignment vertical="center"/>
    </xf>
    <xf numFmtId="0" fontId="43" fillId="0" borderId="0" xfId="0" applyFont="1" applyAlignment="1">
      <alignment vertical="center"/>
    </xf>
    <xf numFmtId="0" fontId="40" fillId="19" borderId="29" xfId="0" applyFont="1" applyFill="1" applyBorder="1" applyAlignment="1">
      <alignment vertical="center" wrapText="1"/>
    </xf>
    <xf numFmtId="0" fontId="41" fillId="0" borderId="29" xfId="0" applyFont="1" applyBorder="1" applyAlignment="1">
      <alignment vertical="center" wrapText="1"/>
    </xf>
    <xf numFmtId="0" fontId="44" fillId="0" borderId="0" xfId="0" applyFont="1" applyAlignment="1">
      <alignment vertical="center"/>
    </xf>
    <xf numFmtId="0" fontId="37" fillId="19" borderId="0" xfId="0" applyFont="1" applyFill="1" applyAlignment="1">
      <alignment horizontal="center"/>
    </xf>
    <xf numFmtId="0" fontId="37" fillId="19" borderId="0" xfId="0" applyFont="1" applyFill="1" applyAlignment="1">
      <alignment horizontal="left"/>
    </xf>
    <xf numFmtId="43" fontId="37" fillId="19" borderId="0" xfId="1" applyFont="1" applyFill="1" applyBorder="1"/>
    <xf numFmtId="43" fontId="36" fillId="0" borderId="0" xfId="1" applyFont="1" applyBorder="1"/>
    <xf numFmtId="0" fontId="36" fillId="0" borderId="0" xfId="0" applyFont="1" applyAlignment="1">
      <alignment horizontal="center"/>
    </xf>
    <xf numFmtId="0" fontId="36" fillId="0" borderId="0" xfId="0" applyFont="1" applyAlignment="1">
      <alignment horizontal="left" wrapText="1"/>
    </xf>
    <xf numFmtId="43" fontId="46" fillId="0" borderId="0" xfId="1" applyFont="1"/>
    <xf numFmtId="0" fontId="47" fillId="2" borderId="0" xfId="0" applyFont="1" applyFill="1"/>
    <xf numFmtId="0" fontId="47" fillId="2" borderId="0" xfId="0" applyFont="1" applyFill="1" applyAlignment="1">
      <alignment horizontal="center"/>
    </xf>
    <xf numFmtId="0" fontId="48" fillId="0" borderId="0" xfId="0" applyFont="1"/>
    <xf numFmtId="0" fontId="49" fillId="0" borderId="0" xfId="0" applyFont="1"/>
    <xf numFmtId="0" fontId="50" fillId="2" borderId="32" xfId="0" applyFont="1" applyFill="1" applyBorder="1" applyAlignment="1">
      <alignment vertical="center" wrapText="1"/>
    </xf>
    <xf numFmtId="0" fontId="50" fillId="2" borderId="0" xfId="0" applyFont="1" applyFill="1" applyAlignment="1">
      <alignment vertical="center" wrapText="1"/>
    </xf>
    <xf numFmtId="43" fontId="48" fillId="0" borderId="0" xfId="1" applyFont="1" applyBorder="1" applyAlignment="1">
      <alignment vertical="center"/>
    </xf>
    <xf numFmtId="0" fontId="48" fillId="0" borderId="32" xfId="0" applyFont="1" applyBorder="1"/>
    <xf numFmtId="0" fontId="47" fillId="2" borderId="0" xfId="0" applyFont="1" applyFill="1" applyAlignment="1">
      <alignment horizontal="center" wrapText="1"/>
    </xf>
    <xf numFmtId="0" fontId="50" fillId="2" borderId="0" xfId="0" applyFont="1" applyFill="1"/>
    <xf numFmtId="0" fontId="49" fillId="0" borderId="32" xfId="0" applyFont="1" applyBorder="1"/>
    <xf numFmtId="43" fontId="49" fillId="0" borderId="32" xfId="1" applyFont="1" applyBorder="1"/>
    <xf numFmtId="43" fontId="48" fillId="0" borderId="0" xfId="1" applyFont="1" applyBorder="1"/>
    <xf numFmtId="43" fontId="49" fillId="0" borderId="0" xfId="1" applyFont="1" applyBorder="1"/>
    <xf numFmtId="0" fontId="48" fillId="0" borderId="0" xfId="0" applyFont="1" applyAlignment="1">
      <alignment horizontal="left" vertical="center"/>
    </xf>
    <xf numFmtId="43" fontId="51" fillId="0" borderId="0" xfId="1" applyFont="1" applyBorder="1" applyAlignment="1"/>
    <xf numFmtId="0" fontId="48" fillId="0" borderId="37" xfId="0" applyFont="1" applyBorder="1"/>
    <xf numFmtId="0" fontId="48" fillId="0" borderId="38" xfId="0" applyFont="1" applyBorder="1" applyAlignment="1">
      <alignment horizontal="left" vertical="center"/>
    </xf>
    <xf numFmtId="0" fontId="48" fillId="0" borderId="38" xfId="0" applyFont="1" applyBorder="1"/>
    <xf numFmtId="43" fontId="48" fillId="0" borderId="38" xfId="1" applyFont="1" applyBorder="1" applyAlignment="1">
      <alignment vertical="center"/>
    </xf>
    <xf numFmtId="43" fontId="38" fillId="17" borderId="0" xfId="1" applyFont="1" applyFill="1" applyBorder="1" applyAlignment="1">
      <alignment horizontal="center" vertical="center" wrapText="1"/>
    </xf>
    <xf numFmtId="0" fontId="52" fillId="21" borderId="43" xfId="0" applyFont="1" applyFill="1" applyBorder="1" applyAlignment="1">
      <alignment horizontal="center" vertical="center" wrapText="1"/>
    </xf>
    <xf numFmtId="0" fontId="52" fillId="21" borderId="44" xfId="0" applyFont="1" applyFill="1" applyBorder="1" applyAlignment="1">
      <alignment horizontal="center" vertical="center" wrapText="1"/>
    </xf>
    <xf numFmtId="0" fontId="53" fillId="0" borderId="34" xfId="0" applyFont="1" applyBorder="1" applyAlignment="1">
      <alignment vertical="center" wrapText="1"/>
    </xf>
    <xf numFmtId="0" fontId="53" fillId="0" borderId="39" xfId="0" applyFont="1" applyBorder="1" applyAlignment="1">
      <alignment horizontal="center" vertical="center" wrapText="1"/>
    </xf>
    <xf numFmtId="0" fontId="53" fillId="0" borderId="39" xfId="0" applyFont="1" applyBorder="1" applyAlignment="1">
      <alignment horizontal="justify" vertical="center" wrapText="1"/>
    </xf>
    <xf numFmtId="0" fontId="53" fillId="0" borderId="39" xfId="0" applyFont="1" applyBorder="1" applyAlignment="1">
      <alignment vertical="center" wrapText="1"/>
    </xf>
    <xf numFmtId="0" fontId="54" fillId="22" borderId="34" xfId="0" applyFont="1" applyFill="1" applyBorder="1" applyAlignment="1">
      <alignment vertical="center" wrapText="1"/>
    </xf>
    <xf numFmtId="0" fontId="54" fillId="22" borderId="39" xfId="0" applyFont="1" applyFill="1" applyBorder="1" applyAlignment="1">
      <alignment horizontal="center" vertical="center" wrapText="1"/>
    </xf>
    <xf numFmtId="0" fontId="53" fillId="22" borderId="39" xfId="0" applyFont="1" applyFill="1" applyBorder="1" applyAlignment="1">
      <alignment horizontal="center" vertical="center" wrapText="1"/>
    </xf>
    <xf numFmtId="0" fontId="33" fillId="0" borderId="0" xfId="0" applyFont="1"/>
    <xf numFmtId="0" fontId="55" fillId="21" borderId="43" xfId="0" applyFont="1" applyFill="1" applyBorder="1" applyAlignment="1">
      <alignment horizontal="center" vertical="center" wrapText="1"/>
    </xf>
    <xf numFmtId="0" fontId="55" fillId="21" borderId="44" xfId="0" applyFont="1" applyFill="1" applyBorder="1" applyAlignment="1">
      <alignment horizontal="center" vertical="center" wrapText="1"/>
    </xf>
    <xf numFmtId="0" fontId="56" fillId="0" borderId="34" xfId="0" applyFont="1" applyBorder="1" applyAlignment="1">
      <alignment horizontal="center" vertical="center" wrapText="1"/>
    </xf>
    <xf numFmtId="0" fontId="56" fillId="0" borderId="39" xfId="0" applyFont="1" applyBorder="1" applyAlignment="1">
      <alignment horizontal="justify" vertical="center" wrapText="1"/>
    </xf>
    <xf numFmtId="4" fontId="56" fillId="0" borderId="39" xfId="0" applyNumberFormat="1" applyFont="1" applyBorder="1" applyAlignment="1">
      <alignment horizontal="center" vertical="center" wrapText="1"/>
    </xf>
    <xf numFmtId="10" fontId="57" fillId="0" borderId="39" xfId="0" applyNumberFormat="1" applyFont="1" applyBorder="1" applyAlignment="1">
      <alignment horizontal="center" vertical="center"/>
    </xf>
    <xf numFmtId="0" fontId="56" fillId="0" borderId="39" xfId="0" applyFont="1" applyBorder="1" applyAlignment="1">
      <alignment horizontal="center" vertical="center" wrapText="1"/>
    </xf>
    <xf numFmtId="4" fontId="54" fillId="22" borderId="39" xfId="0" applyNumberFormat="1" applyFont="1" applyFill="1" applyBorder="1" applyAlignment="1">
      <alignment horizontal="center" vertical="center" wrapText="1"/>
    </xf>
    <xf numFmtId="10" fontId="58" fillId="23" borderId="39" xfId="0" applyNumberFormat="1" applyFont="1" applyFill="1" applyBorder="1" applyAlignment="1">
      <alignment horizontal="center" vertical="center"/>
    </xf>
    <xf numFmtId="0" fontId="59" fillId="24" borderId="34" xfId="0" applyFont="1" applyFill="1" applyBorder="1" applyAlignment="1">
      <alignment horizontal="center" vertical="center" wrapText="1"/>
    </xf>
    <xf numFmtId="0" fontId="59" fillId="24" borderId="39" xfId="0" applyFont="1" applyFill="1" applyBorder="1" applyAlignment="1">
      <alignment horizontal="center" vertical="center" wrapText="1"/>
    </xf>
    <xf numFmtId="0" fontId="60" fillId="0" borderId="34" xfId="0" applyFont="1" applyBorder="1" applyAlignment="1">
      <alignment horizontal="center" vertical="center" wrapText="1"/>
    </xf>
    <xf numFmtId="0" fontId="60" fillId="0" borderId="39" xfId="0" applyFont="1" applyBorder="1" applyAlignment="1">
      <alignment vertical="center" wrapText="1"/>
    </xf>
    <xf numFmtId="4" fontId="60" fillId="0" borderId="39" xfId="0" applyNumberFormat="1" applyFont="1" applyBorder="1" applyAlignment="1">
      <alignment horizontal="center" vertical="center" wrapText="1"/>
    </xf>
    <xf numFmtId="0" fontId="60" fillId="0" borderId="39" xfId="0" applyFont="1" applyBorder="1" applyAlignment="1">
      <alignment horizontal="center" vertical="center" wrapText="1"/>
    </xf>
    <xf numFmtId="10" fontId="60" fillId="0" borderId="39" xfId="0" applyNumberFormat="1" applyFont="1" applyBorder="1" applyAlignment="1">
      <alignment horizontal="center" vertical="center"/>
    </xf>
    <xf numFmtId="0" fontId="60" fillId="0" borderId="34" xfId="0" applyFont="1" applyBorder="1" applyAlignment="1">
      <alignment horizontal="center" vertical="center"/>
    </xf>
    <xf numFmtId="0" fontId="60" fillId="0" borderId="39" xfId="0" applyFont="1" applyBorder="1" applyAlignment="1">
      <alignment vertical="center"/>
    </xf>
    <xf numFmtId="4" fontId="60" fillId="0" borderId="39" xfId="0" applyNumberFormat="1" applyFont="1" applyBorder="1" applyAlignment="1">
      <alignment horizontal="center" vertical="center"/>
    </xf>
    <xf numFmtId="0" fontId="60" fillId="0" borderId="39" xfId="0" applyFont="1" applyBorder="1" applyAlignment="1">
      <alignment horizontal="center" vertical="center"/>
    </xf>
    <xf numFmtId="4" fontId="61" fillId="23" borderId="39" xfId="0" applyNumberFormat="1" applyFont="1" applyFill="1" applyBorder="1" applyAlignment="1">
      <alignment horizontal="center" vertical="center"/>
    </xf>
    <xf numFmtId="10" fontId="61" fillId="23" borderId="39" xfId="0" applyNumberFormat="1" applyFont="1" applyFill="1" applyBorder="1" applyAlignment="1">
      <alignment horizontal="center" vertical="center"/>
    </xf>
    <xf numFmtId="0" fontId="55" fillId="21" borderId="46" xfId="0" applyFont="1" applyFill="1" applyBorder="1" applyAlignment="1">
      <alignment horizontal="center" vertical="center" wrapText="1"/>
    </xf>
    <xf numFmtId="0" fontId="29" fillId="0" borderId="43" xfId="0" applyFont="1" applyBorder="1" applyAlignment="1">
      <alignment horizontal="center" vertical="center"/>
    </xf>
    <xf numFmtId="0" fontId="29" fillId="0" borderId="46" xfId="0" applyFont="1" applyBorder="1" applyAlignment="1">
      <alignment vertical="center" wrapText="1"/>
    </xf>
    <xf numFmtId="164" fontId="0" fillId="0" borderId="43" xfId="7" applyFont="1" applyBorder="1" applyAlignment="1">
      <alignment vertical="center"/>
    </xf>
    <xf numFmtId="164" fontId="0" fillId="0" borderId="46" xfId="7" applyFont="1" applyBorder="1" applyAlignment="1">
      <alignment vertical="center"/>
    </xf>
    <xf numFmtId="10" fontId="0" fillId="0" borderId="44" xfId="2" applyNumberFormat="1" applyFont="1" applyBorder="1" applyAlignment="1">
      <alignment horizontal="center" vertical="center"/>
    </xf>
    <xf numFmtId="0" fontId="0" fillId="0" borderId="0" xfId="0" applyAlignment="1">
      <alignment vertical="center"/>
    </xf>
    <xf numFmtId="0" fontId="29" fillId="0" borderId="33" xfId="0" applyFont="1" applyBorder="1" applyAlignment="1">
      <alignment horizontal="center" vertical="center"/>
    </xf>
    <xf numFmtId="0" fontId="29" fillId="0" borderId="0" xfId="0" applyFont="1" applyAlignment="1">
      <alignment vertical="center" wrapText="1"/>
    </xf>
    <xf numFmtId="164" fontId="29" fillId="0" borderId="33" xfId="7" applyFont="1" applyBorder="1" applyAlignment="1">
      <alignment vertical="center" wrapText="1"/>
    </xf>
    <xf numFmtId="164" fontId="0" fillId="0" borderId="0" xfId="7" applyFont="1" applyAlignment="1">
      <alignment vertical="center"/>
    </xf>
    <xf numFmtId="164" fontId="0" fillId="0" borderId="31" xfId="7" applyFont="1" applyBorder="1" applyAlignment="1">
      <alignment vertical="center"/>
    </xf>
    <xf numFmtId="10" fontId="0" fillId="0" borderId="36" xfId="2" applyNumberFormat="1" applyFont="1" applyBorder="1" applyAlignment="1">
      <alignment horizontal="center" vertical="center"/>
    </xf>
    <xf numFmtId="164" fontId="0" fillId="7" borderId="43" xfId="7" applyFont="1" applyFill="1" applyBorder="1" applyAlignment="1">
      <alignment vertical="center"/>
    </xf>
    <xf numFmtId="164" fontId="29" fillId="0" borderId="43" xfId="7" applyFont="1" applyBorder="1" applyAlignment="1">
      <alignment vertical="center" wrapText="1"/>
    </xf>
    <xf numFmtId="164" fontId="0" fillId="0" borderId="46" xfId="7" applyFont="1" applyFill="1" applyBorder="1" applyAlignment="1">
      <alignment vertical="center"/>
    </xf>
    <xf numFmtId="164" fontId="61" fillId="23" borderId="39" xfId="7" applyFont="1" applyFill="1" applyBorder="1" applyAlignment="1">
      <alignment horizontal="center" vertical="center"/>
    </xf>
    <xf numFmtId="10" fontId="61" fillId="23" borderId="39" xfId="2" applyNumberFormat="1" applyFont="1" applyFill="1" applyBorder="1" applyAlignment="1">
      <alignment horizontal="center" vertical="center"/>
    </xf>
    <xf numFmtId="0" fontId="29" fillId="0" borderId="1" xfId="0" applyFont="1" applyBorder="1" applyAlignment="1">
      <alignment horizontal="right" vertical="center"/>
    </xf>
    <xf numFmtId="0" fontId="29" fillId="0" borderId="47" xfId="0" applyFont="1" applyBorder="1" applyAlignment="1">
      <alignment horizontal="right" vertical="center"/>
    </xf>
    <xf numFmtId="0" fontId="30" fillId="0" borderId="23" xfId="0" applyFont="1" applyBorder="1" applyAlignment="1">
      <alignment vertical="center" wrapText="1"/>
    </xf>
    <xf numFmtId="164" fontId="0" fillId="0" borderId="44" xfId="7" applyFont="1" applyBorder="1" applyAlignment="1">
      <alignment vertical="center"/>
    </xf>
    <xf numFmtId="0" fontId="30" fillId="0" borderId="24" xfId="0" applyFont="1" applyBorder="1" applyAlignment="1">
      <alignment vertical="center" wrapText="1"/>
    </xf>
    <xf numFmtId="164" fontId="0" fillId="0" borderId="39" xfId="7" applyFont="1" applyBorder="1" applyAlignment="1">
      <alignment vertical="center"/>
    </xf>
    <xf numFmtId="164" fontId="0" fillId="0" borderId="38" xfId="7" applyFont="1" applyBorder="1" applyAlignment="1">
      <alignment vertical="center"/>
    </xf>
    <xf numFmtId="164" fontId="0" fillId="7" borderId="39" xfId="7" applyFont="1" applyFill="1" applyBorder="1" applyAlignment="1">
      <alignment vertical="center"/>
    </xf>
    <xf numFmtId="0" fontId="29" fillId="0" borderId="25" xfId="0" applyFont="1" applyBorder="1" applyAlignment="1">
      <alignment vertical="center" wrapText="1"/>
    </xf>
    <xf numFmtId="0" fontId="29" fillId="0" borderId="21" xfId="0" applyFont="1" applyBorder="1" applyAlignment="1">
      <alignment horizontal="right" vertical="center"/>
    </xf>
    <xf numFmtId="0" fontId="29" fillId="0" borderId="18" xfId="0" applyFont="1" applyBorder="1" applyAlignment="1">
      <alignment horizontal="right" vertical="center" wrapText="1"/>
    </xf>
    <xf numFmtId="0" fontId="29" fillId="0" borderId="19" xfId="0" applyFont="1" applyBorder="1" applyAlignment="1">
      <alignment vertical="center" wrapText="1"/>
    </xf>
    <xf numFmtId="164" fontId="0" fillId="0" borderId="0" xfId="7" applyFont="1"/>
    <xf numFmtId="168" fontId="0" fillId="0" borderId="0" xfId="7" applyNumberFormat="1" applyFont="1"/>
    <xf numFmtId="9" fontId="0" fillId="0" borderId="0" xfId="2" applyFont="1"/>
    <xf numFmtId="0" fontId="32" fillId="0" borderId="1" xfId="0" applyFont="1" applyBorder="1" applyAlignment="1">
      <alignment horizontal="right"/>
    </xf>
    <xf numFmtId="0" fontId="32" fillId="0" borderId="1" xfId="0" applyFont="1" applyBorder="1" applyAlignment="1">
      <alignment horizontal="center"/>
    </xf>
    <xf numFmtId="0" fontId="32" fillId="0" borderId="0" xfId="0" applyFont="1"/>
    <xf numFmtId="0" fontId="32" fillId="0" borderId="1" xfId="0" applyFont="1" applyBorder="1"/>
    <xf numFmtId="0" fontId="32" fillId="0" borderId="1" xfId="0" applyFont="1" applyBorder="1" applyAlignment="1">
      <alignment horizontal="right" vertical="center" wrapText="1"/>
    </xf>
    <xf numFmtId="0" fontId="32" fillId="0" borderId="1" xfId="0" applyFont="1" applyBorder="1" applyAlignment="1">
      <alignment vertical="center" wrapText="1"/>
    </xf>
    <xf numFmtId="0" fontId="32" fillId="5" borderId="1" xfId="0" applyFont="1" applyFill="1" applyBorder="1" applyAlignment="1">
      <alignment vertical="center"/>
    </xf>
    <xf numFmtId="0" fontId="32" fillId="0" borderId="0" xfId="0" applyFont="1" applyAlignment="1">
      <alignment vertical="center" wrapText="1"/>
    </xf>
    <xf numFmtId="0" fontId="32" fillId="19" borderId="1" xfId="0" applyFont="1" applyFill="1" applyBorder="1" applyAlignment="1">
      <alignment horizontal="center"/>
    </xf>
    <xf numFmtId="0" fontId="32" fillId="5" borderId="1" xfId="0" applyFont="1" applyFill="1" applyBorder="1" applyAlignment="1">
      <alignment horizontal="center"/>
    </xf>
    <xf numFmtId="0" fontId="32" fillId="0" borderId="0" xfId="0" applyFont="1" applyAlignment="1">
      <alignment horizontal="center"/>
    </xf>
    <xf numFmtId="0" fontId="29" fillId="0" borderId="1" xfId="0" applyFont="1" applyBorder="1" applyAlignment="1">
      <alignment horizontal="left"/>
    </xf>
    <xf numFmtId="43" fontId="29" fillId="0" borderId="1" xfId="8" applyFont="1" applyFill="1" applyBorder="1"/>
    <xf numFmtId="164" fontId="29" fillId="0" borderId="1" xfId="7" applyFont="1" applyFill="1" applyBorder="1"/>
    <xf numFmtId="164" fontId="31" fillId="19" borderId="1" xfId="7" applyFont="1" applyFill="1" applyBorder="1" applyAlignment="1">
      <alignment vertical="center"/>
    </xf>
    <xf numFmtId="164" fontId="29" fillId="19" borderId="1" xfId="7" applyFont="1" applyFill="1" applyBorder="1"/>
    <xf numFmtId="164" fontId="31" fillId="5" borderId="1" xfId="7" applyFont="1" applyFill="1" applyBorder="1" applyAlignment="1">
      <alignment vertical="center"/>
    </xf>
    <xf numFmtId="164" fontId="29" fillId="5" borderId="1" xfId="7" applyFont="1" applyFill="1" applyBorder="1"/>
    <xf numFmtId="164" fontId="32" fillId="16" borderId="1" xfId="7" applyFont="1" applyFill="1" applyBorder="1"/>
    <xf numFmtId="164" fontId="29" fillId="16" borderId="1" xfId="7" applyFont="1" applyFill="1" applyBorder="1"/>
    <xf numFmtId="164" fontId="31" fillId="19" borderId="1" xfId="7" applyFont="1" applyFill="1" applyBorder="1"/>
    <xf numFmtId="43" fontId="32" fillId="0" borderId="1" xfId="8" applyFont="1" applyFill="1" applyBorder="1"/>
    <xf numFmtId="164" fontId="32" fillId="0" borderId="1" xfId="7" applyFont="1" applyFill="1" applyBorder="1"/>
    <xf numFmtId="164" fontId="32" fillId="19" borderId="1" xfId="7" applyFont="1" applyFill="1" applyBorder="1"/>
    <xf numFmtId="164" fontId="32" fillId="5" borderId="1" xfId="7" applyFont="1" applyFill="1" applyBorder="1"/>
    <xf numFmtId="164" fontId="29" fillId="0" borderId="0" xfId="7" applyFont="1"/>
    <xf numFmtId="0" fontId="29" fillId="25" borderId="0" xfId="0" applyFont="1" applyFill="1"/>
    <xf numFmtId="164" fontId="29" fillId="0" borderId="0" xfId="0" applyNumberFormat="1" applyFont="1"/>
    <xf numFmtId="164" fontId="32" fillId="0" borderId="1" xfId="7" applyFont="1" applyBorder="1" applyAlignment="1">
      <alignment vertical="center" wrapText="1"/>
    </xf>
    <xf numFmtId="164" fontId="32" fillId="0" borderId="1" xfId="7" applyFont="1" applyBorder="1" applyAlignment="1">
      <alignment vertical="center"/>
    </xf>
    <xf numFmtId="164" fontId="32" fillId="0" borderId="0" xfId="7" applyFont="1" applyAlignment="1">
      <alignment vertical="center"/>
    </xf>
    <xf numFmtId="43" fontId="32" fillId="0" borderId="1" xfId="0" applyNumberFormat="1" applyFont="1" applyBorder="1" applyAlignment="1">
      <alignment vertical="center"/>
    </xf>
    <xf numFmtId="164" fontId="29" fillId="0" borderId="1" xfId="0" applyNumberFormat="1" applyFont="1" applyBorder="1" applyAlignment="1">
      <alignment vertical="center"/>
    </xf>
    <xf numFmtId="43" fontId="63" fillId="0" borderId="1" xfId="0" applyNumberFormat="1" applyFont="1" applyBorder="1" applyAlignment="1">
      <alignment vertical="center"/>
    </xf>
    <xf numFmtId="164" fontId="32" fillId="0" borderId="0" xfId="7" applyFont="1" applyBorder="1" applyAlignment="1">
      <alignment vertical="center"/>
    </xf>
    <xf numFmtId="43" fontId="32" fillId="0" borderId="0" xfId="0" applyNumberFormat="1" applyFont="1" applyAlignment="1">
      <alignment vertical="center"/>
    </xf>
    <xf numFmtId="43" fontId="63" fillId="0" borderId="0" xfId="0" applyNumberFormat="1" applyFont="1" applyAlignment="1">
      <alignment vertical="center"/>
    </xf>
    <xf numFmtId="164" fontId="29" fillId="0" borderId="0" xfId="0" applyNumberFormat="1" applyFont="1" applyAlignment="1">
      <alignment vertical="center"/>
    </xf>
    <xf numFmtId="0" fontId="32" fillId="19" borderId="1" xfId="0" applyFont="1" applyFill="1" applyBorder="1"/>
    <xf numFmtId="0" fontId="29" fillId="19" borderId="1" xfId="0" applyFont="1" applyFill="1" applyBorder="1"/>
    <xf numFmtId="43" fontId="29" fillId="19" borderId="1" xfId="8" applyFont="1" applyFill="1" applyBorder="1"/>
    <xf numFmtId="164" fontId="31" fillId="19" borderId="1" xfId="7" applyFont="1" applyFill="1" applyBorder="1" applyAlignment="1">
      <alignment horizontal="right" vertical="center"/>
    </xf>
    <xf numFmtId="43" fontId="42" fillId="0" borderId="0" xfId="1" applyFont="1" applyFill="1" applyBorder="1" applyAlignment="1">
      <alignment vertical="center"/>
    </xf>
    <xf numFmtId="0" fontId="32" fillId="0" borderId="1" xfId="0" applyFont="1" applyBorder="1" applyAlignment="1">
      <alignment horizontal="right" vertical="center"/>
    </xf>
    <xf numFmtId="0" fontId="29" fillId="19" borderId="1" xfId="0" applyFont="1" applyFill="1" applyBorder="1" applyAlignment="1">
      <alignment vertical="center"/>
    </xf>
    <xf numFmtId="0" fontId="32" fillId="19" borderId="1" xfId="0" applyFont="1" applyFill="1" applyBorder="1" applyAlignment="1">
      <alignment horizontal="center" vertical="center"/>
    </xf>
    <xf numFmtId="43" fontId="29" fillId="19" borderId="1" xfId="1" applyFont="1" applyFill="1" applyBorder="1" applyAlignment="1"/>
    <xf numFmtId="43" fontId="29" fillId="19" borderId="1" xfId="1" applyFont="1" applyFill="1" applyBorder="1" applyAlignment="1">
      <alignment horizontal="center"/>
    </xf>
    <xf numFmtId="10" fontId="32" fillId="0" borderId="1" xfId="2" applyNumberFormat="1" applyFont="1" applyBorder="1" applyAlignment="1">
      <alignment horizontal="center" vertical="center"/>
    </xf>
    <xf numFmtId="43" fontId="34" fillId="19" borderId="53" xfId="1" applyFont="1" applyFill="1" applyBorder="1" applyAlignment="1">
      <alignment vertical="center"/>
    </xf>
    <xf numFmtId="0" fontId="36" fillId="0" borderId="0" xfId="0" applyFont="1" applyAlignment="1">
      <alignment horizontal="center" vertical="center"/>
    </xf>
    <xf numFmtId="43" fontId="37" fillId="19" borderId="29" xfId="1" applyFont="1" applyFill="1" applyBorder="1" applyAlignment="1">
      <alignment horizontal="center" vertical="center"/>
    </xf>
    <xf numFmtId="43" fontId="41" fillId="0" borderId="29" xfId="1" applyFont="1" applyFill="1" applyBorder="1" applyAlignment="1">
      <alignment horizontal="center" vertical="center"/>
    </xf>
    <xf numFmtId="43" fontId="41" fillId="0" borderId="29" xfId="1" applyFont="1" applyFill="1" applyBorder="1" applyAlignment="1">
      <alignment horizontal="center"/>
    </xf>
    <xf numFmtId="43" fontId="39" fillId="20" borderId="29" xfId="1" applyFont="1" applyFill="1" applyBorder="1" applyAlignment="1">
      <alignment horizontal="center" vertical="center"/>
    </xf>
    <xf numFmtId="10" fontId="39" fillId="20" borderId="29" xfId="2" applyNumberFormat="1" applyFont="1" applyFill="1" applyBorder="1" applyAlignment="1">
      <alignment horizontal="center" vertical="center"/>
    </xf>
    <xf numFmtId="10" fontId="34" fillId="19" borderId="54" xfId="1" applyNumberFormat="1" applyFont="1" applyFill="1" applyBorder="1" applyAlignment="1">
      <alignment horizontal="center" vertical="center"/>
    </xf>
    <xf numFmtId="0" fontId="7" fillId="8" borderId="1" xfId="0" applyFont="1" applyFill="1" applyBorder="1" applyAlignment="1">
      <alignment vertical="center" wrapText="1"/>
    </xf>
    <xf numFmtId="0" fontId="7" fillId="0" borderId="1" xfId="0" applyFont="1" applyBorder="1" applyAlignment="1">
      <alignment horizontal="left" vertical="center" wrapText="1"/>
    </xf>
    <xf numFmtId="0" fontId="64" fillId="2" borderId="1" xfId="0" applyFont="1" applyFill="1" applyBorder="1" applyAlignment="1">
      <alignment horizontal="left" vertical="center" wrapText="1"/>
    </xf>
    <xf numFmtId="0" fontId="64" fillId="8" borderId="1" xfId="0" applyFont="1" applyFill="1" applyBorder="1" applyAlignment="1">
      <alignment horizontal="left" vertical="center" wrapText="1"/>
    </xf>
    <xf numFmtId="0" fontId="7" fillId="8" borderId="1" xfId="0" applyFont="1" applyFill="1" applyBorder="1" applyAlignment="1">
      <alignment horizontal="justify" vertical="center"/>
    </xf>
    <xf numFmtId="0" fontId="7" fillId="0" borderId="0" xfId="0" applyFont="1" applyAlignment="1">
      <alignment horizontal="center" vertical="center" wrapText="1"/>
    </xf>
    <xf numFmtId="0" fontId="8"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9" fillId="2" borderId="1" xfId="0" applyFont="1" applyFill="1" applyBorder="1" applyAlignment="1">
      <alignment horizontal="center" vertical="center" textRotation="90" wrapText="1"/>
    </xf>
    <xf numFmtId="43" fontId="6" fillId="3" borderId="1" xfId="1" applyFont="1" applyFill="1" applyBorder="1" applyAlignment="1">
      <alignment horizontal="center" vertical="center" wrapText="1"/>
    </xf>
    <xf numFmtId="0" fontId="8" fillId="2" borderId="1" xfId="0" applyFont="1" applyFill="1" applyBorder="1" applyAlignment="1">
      <alignment horizontal="center" vertical="center" textRotation="90"/>
    </xf>
    <xf numFmtId="43" fontId="9" fillId="2" borderId="1" xfId="1" applyFont="1" applyFill="1" applyBorder="1" applyAlignment="1">
      <alignment horizontal="center" vertical="center" textRotation="90"/>
    </xf>
    <xf numFmtId="10" fontId="37" fillId="19" borderId="29" xfId="2" applyNumberFormat="1" applyFont="1" applyFill="1" applyBorder="1" applyAlignment="1">
      <alignment horizontal="center" vertical="center"/>
    </xf>
    <xf numFmtId="0" fontId="53" fillId="0" borderId="29" xfId="0" applyFont="1" applyBorder="1" applyAlignment="1">
      <alignment vertical="center" wrapText="1"/>
    </xf>
    <xf numFmtId="0" fontId="21" fillId="2" borderId="0" xfId="0" applyFont="1" applyFill="1"/>
    <xf numFmtId="0" fontId="29" fillId="2" borderId="43" xfId="0" applyFont="1" applyFill="1" applyBorder="1" applyAlignment="1">
      <alignment horizontal="center" vertical="center"/>
    </xf>
    <xf numFmtId="0" fontId="29" fillId="2" borderId="46" xfId="0" applyFont="1" applyFill="1" applyBorder="1" applyAlignment="1">
      <alignment vertical="center" wrapText="1"/>
    </xf>
    <xf numFmtId="164" fontId="29" fillId="2" borderId="43" xfId="7" applyFont="1" applyFill="1" applyBorder="1" applyAlignment="1">
      <alignment vertical="center" wrapText="1"/>
    </xf>
    <xf numFmtId="164" fontId="0" fillId="2" borderId="46" xfId="7" applyFont="1" applyFill="1" applyBorder="1" applyAlignment="1">
      <alignment vertical="center"/>
    </xf>
    <xf numFmtId="164" fontId="0" fillId="2" borderId="43" xfId="7" applyFont="1" applyFill="1" applyBorder="1" applyAlignment="1">
      <alignment vertical="center"/>
    </xf>
    <xf numFmtId="10" fontId="0" fillId="2" borderId="44" xfId="2" applyNumberFormat="1" applyFont="1" applyFill="1" applyBorder="1" applyAlignment="1">
      <alignment horizontal="center" vertical="center"/>
    </xf>
    <xf numFmtId="0" fontId="0" fillId="2" borderId="0" xfId="0" applyFill="1" applyAlignment="1">
      <alignment vertical="center"/>
    </xf>
    <xf numFmtId="43" fontId="0" fillId="0" borderId="0" xfId="1" applyFont="1"/>
    <xf numFmtId="43" fontId="66" fillId="24" borderId="1" xfId="1" applyFont="1" applyFill="1" applyBorder="1" applyAlignment="1">
      <alignment horizontal="center" vertical="center" wrapText="1"/>
    </xf>
    <xf numFmtId="43" fontId="67" fillId="24" borderId="1" xfId="1" applyFont="1" applyFill="1" applyBorder="1" applyAlignment="1">
      <alignment horizontal="center" vertical="center" wrapText="1"/>
    </xf>
    <xf numFmtId="0" fontId="68" fillId="0" borderId="1" xfId="0" applyFont="1" applyBorder="1" applyAlignment="1">
      <alignment horizontal="left" vertical="center"/>
    </xf>
    <xf numFmtId="43" fontId="68" fillId="0" borderId="1" xfId="1" applyFont="1" applyBorder="1" applyAlignment="1">
      <alignment horizontal="center" vertical="center"/>
    </xf>
    <xf numFmtId="43" fontId="66" fillId="24" borderId="1" xfId="1" applyFont="1" applyFill="1" applyBorder="1" applyAlignment="1">
      <alignment horizontal="center" vertical="center"/>
    </xf>
    <xf numFmtId="0" fontId="69" fillId="0" borderId="1" xfId="0" applyFont="1" applyBorder="1" applyAlignment="1">
      <alignment vertical="center"/>
    </xf>
    <xf numFmtId="43" fontId="69" fillId="0" borderId="1" xfId="1" applyFont="1" applyBorder="1" applyAlignment="1">
      <alignment vertical="center"/>
    </xf>
    <xf numFmtId="0" fontId="66" fillId="26" borderId="1" xfId="0" applyFont="1" applyFill="1" applyBorder="1" applyAlignment="1">
      <alignment horizontal="center" vertical="center"/>
    </xf>
    <xf numFmtId="0" fontId="67" fillId="0" borderId="1" xfId="0" applyFont="1" applyBorder="1" applyAlignment="1">
      <alignment horizontal="left" vertical="center"/>
    </xf>
    <xf numFmtId="0" fontId="66" fillId="24" borderId="1" xfId="0" applyFont="1" applyFill="1" applyBorder="1" applyAlignment="1">
      <alignment horizontal="left" vertical="center"/>
    </xf>
    <xf numFmtId="43" fontId="7" fillId="0" borderId="1" xfId="1" applyFont="1" applyBorder="1" applyAlignment="1">
      <alignment horizontal="center" vertical="center"/>
    </xf>
    <xf numFmtId="43" fontId="7" fillId="0" borderId="1" xfId="1" applyFont="1" applyBorder="1" applyAlignment="1">
      <alignment horizontal="center" vertical="center" wrapText="1"/>
    </xf>
    <xf numFmtId="43" fontId="6" fillId="2" borderId="1" xfId="1" applyFont="1" applyFill="1" applyBorder="1" applyAlignment="1">
      <alignment horizontal="center" vertical="center"/>
    </xf>
    <xf numFmtId="43" fontId="6" fillId="2" borderId="1" xfId="1" applyFont="1" applyFill="1" applyBorder="1" applyAlignment="1">
      <alignment horizontal="center" vertical="center" wrapText="1"/>
    </xf>
    <xf numFmtId="43" fontId="7" fillId="2" borderId="0" xfId="1" applyFont="1" applyFill="1" applyAlignment="1">
      <alignment horizontal="center" vertical="center" wrapText="1"/>
    </xf>
    <xf numFmtId="43" fontId="7" fillId="2" borderId="0" xfId="1" applyFont="1" applyFill="1" applyAlignment="1">
      <alignment horizontal="center" vertical="center"/>
    </xf>
    <xf numFmtId="43" fontId="9" fillId="2" borderId="1" xfId="1" applyFont="1" applyFill="1" applyBorder="1" applyAlignment="1">
      <alignment horizontal="center" vertical="center" textRotation="90" wrapText="1"/>
    </xf>
    <xf numFmtId="43" fontId="36" fillId="0" borderId="0" xfId="0" applyNumberFormat="1" applyFont="1"/>
    <xf numFmtId="0" fontId="73" fillId="0" borderId="0" xfId="0" applyFont="1"/>
    <xf numFmtId="0" fontId="73" fillId="0" borderId="0" xfId="0" applyFont="1" applyAlignment="1">
      <alignment vertical="center"/>
    </xf>
    <xf numFmtId="0" fontId="73" fillId="0" borderId="0" xfId="0" applyFont="1" applyAlignment="1">
      <alignment horizontal="center" vertical="center"/>
    </xf>
    <xf numFmtId="0" fontId="70" fillId="0" borderId="0" xfId="0" applyFont="1"/>
    <xf numFmtId="0" fontId="73" fillId="0" borderId="0" xfId="0" applyFont="1" applyAlignment="1">
      <alignment wrapText="1"/>
    </xf>
    <xf numFmtId="0" fontId="73" fillId="0" borderId="1" xfId="0" applyFont="1" applyBorder="1" applyAlignment="1">
      <alignment horizontal="left" wrapText="1"/>
    </xf>
    <xf numFmtId="0" fontId="73" fillId="0" borderId="1" xfId="0" applyFont="1" applyBorder="1"/>
    <xf numFmtId="43" fontId="74" fillId="0" borderId="1" xfId="1" applyFont="1" applyBorder="1" applyAlignment="1">
      <alignment vertical="center"/>
    </xf>
    <xf numFmtId="0" fontId="74" fillId="2" borderId="1" xfId="0" applyFont="1" applyFill="1" applyBorder="1" applyAlignment="1">
      <alignment horizontal="left" wrapText="1"/>
    </xf>
    <xf numFmtId="43" fontId="73" fillId="0" borderId="1" xfId="1" applyFont="1" applyBorder="1" applyAlignment="1">
      <alignment vertical="center"/>
    </xf>
    <xf numFmtId="43" fontId="70" fillId="0" borderId="1" xfId="1" applyFont="1" applyBorder="1" applyAlignment="1">
      <alignment vertical="center"/>
    </xf>
    <xf numFmtId="0" fontId="74" fillId="2" borderId="1" xfId="0" applyFont="1" applyFill="1" applyBorder="1" applyAlignment="1">
      <alignment horizontal="left" vertical="center" wrapText="1"/>
    </xf>
    <xf numFmtId="0" fontId="73" fillId="0" borderId="1" xfId="0" applyFont="1" applyBorder="1" applyAlignment="1">
      <alignment horizontal="left" vertical="center" wrapText="1"/>
    </xf>
    <xf numFmtId="43" fontId="73" fillId="0" borderId="1" xfId="1" applyFont="1" applyBorder="1" applyAlignment="1">
      <alignment horizontal="left" wrapText="1"/>
    </xf>
    <xf numFmtId="0" fontId="73" fillId="0" borderId="7" xfId="0" applyFont="1" applyBorder="1" applyAlignment="1">
      <alignment horizontal="left" vertical="center" wrapText="1"/>
    </xf>
    <xf numFmtId="0" fontId="73" fillId="0" borderId="7" xfId="0" applyFont="1" applyBorder="1" applyAlignment="1">
      <alignment horizontal="left" wrapText="1"/>
    </xf>
    <xf numFmtId="43" fontId="73" fillId="0" borderId="0" xfId="1" applyFont="1" applyAlignment="1">
      <alignment vertical="center"/>
    </xf>
    <xf numFmtId="43" fontId="70" fillId="0" borderId="0" xfId="1" applyFont="1" applyAlignment="1">
      <alignment vertical="center"/>
    </xf>
    <xf numFmtId="0" fontId="74" fillId="2" borderId="1" xfId="0" applyFont="1" applyFill="1" applyBorder="1" applyAlignment="1">
      <alignment horizontal="center" vertical="center" wrapText="1"/>
    </xf>
    <xf numFmtId="0" fontId="73" fillId="0" borderId="1" xfId="0" applyFont="1" applyBorder="1" applyAlignment="1">
      <alignment horizontal="center" vertical="center" wrapText="1"/>
    </xf>
    <xf numFmtId="43" fontId="70" fillId="0" borderId="1" xfId="1" applyFont="1" applyBorder="1" applyAlignment="1">
      <alignment horizontal="center" vertical="center" wrapText="1"/>
    </xf>
    <xf numFmtId="43" fontId="73" fillId="0" borderId="1" xfId="1" applyFont="1" applyBorder="1" applyAlignment="1">
      <alignment horizontal="center" vertical="center" wrapText="1"/>
    </xf>
    <xf numFmtId="0" fontId="75" fillId="19" borderId="1" xfId="0" applyFont="1" applyFill="1" applyBorder="1" applyAlignment="1">
      <alignment horizontal="left" vertical="center"/>
    </xf>
    <xf numFmtId="43" fontId="71" fillId="19" borderId="1" xfId="1" applyFont="1" applyFill="1" applyBorder="1" applyAlignment="1">
      <alignment vertical="center"/>
    </xf>
    <xf numFmtId="43" fontId="70" fillId="19" borderId="1" xfId="1" applyFont="1" applyFill="1" applyBorder="1" applyAlignment="1">
      <alignment vertical="center"/>
    </xf>
    <xf numFmtId="0" fontId="75" fillId="19" borderId="0" xfId="0" applyFont="1" applyFill="1" applyAlignment="1">
      <alignment horizontal="left" vertical="center"/>
    </xf>
    <xf numFmtId="0" fontId="75" fillId="19" borderId="1" xfId="0" applyFont="1" applyFill="1" applyBorder="1" applyAlignment="1">
      <alignment horizontal="center" vertical="center"/>
    </xf>
    <xf numFmtId="0" fontId="75" fillId="19" borderId="0" xfId="0" applyFont="1" applyFill="1" applyAlignment="1">
      <alignment horizontal="center" vertical="center"/>
    </xf>
    <xf numFmtId="43" fontId="73" fillId="0" borderId="0" xfId="1" applyFont="1" applyAlignment="1">
      <alignment horizontal="center" vertical="center"/>
    </xf>
    <xf numFmtId="43" fontId="73" fillId="19" borderId="1" xfId="1" applyFont="1" applyFill="1" applyBorder="1" applyAlignment="1">
      <alignment vertical="center"/>
    </xf>
    <xf numFmtId="43" fontId="73" fillId="0" borderId="1" xfId="1" applyFont="1" applyBorder="1" applyAlignment="1">
      <alignment horizontal="center" vertical="center"/>
    </xf>
    <xf numFmtId="43" fontId="73" fillId="0" borderId="1" xfId="1" applyFont="1" applyFill="1" applyBorder="1" applyAlignment="1">
      <alignment vertical="center"/>
    </xf>
    <xf numFmtId="43" fontId="73" fillId="0" borderId="5" xfId="1" applyFont="1" applyBorder="1" applyAlignment="1">
      <alignment vertical="center"/>
    </xf>
    <xf numFmtId="43" fontId="73" fillId="0" borderId="7" xfId="1" applyFont="1" applyBorder="1" applyAlignment="1">
      <alignment horizontal="center" vertical="center"/>
    </xf>
    <xf numFmtId="43" fontId="74" fillId="0" borderId="1" xfId="1" applyFont="1" applyFill="1" applyBorder="1" applyAlignment="1">
      <alignment vertical="center"/>
    </xf>
    <xf numFmtId="0" fontId="73" fillId="0" borderId="1" xfId="0" applyFont="1" applyBorder="1" applyAlignment="1">
      <alignment wrapText="1"/>
    </xf>
    <xf numFmtId="0" fontId="70" fillId="0" borderId="1" xfId="0" applyFont="1" applyBorder="1" applyAlignment="1">
      <alignment wrapText="1"/>
    </xf>
    <xf numFmtId="43" fontId="70" fillId="0" borderId="1" xfId="1" applyFont="1" applyBorder="1" applyAlignment="1">
      <alignment horizontal="right" vertical="center" wrapText="1"/>
    </xf>
    <xf numFmtId="43" fontId="7" fillId="2" borderId="0" xfId="0" applyNumberFormat="1" applyFont="1" applyFill="1"/>
    <xf numFmtId="43" fontId="6" fillId="14" borderId="1" xfId="1" applyFont="1" applyFill="1" applyBorder="1" applyAlignment="1">
      <alignment horizontal="center" vertical="center" wrapText="1"/>
    </xf>
    <xf numFmtId="0" fontId="8" fillId="2" borderId="1" xfId="0" applyFont="1" applyFill="1" applyBorder="1" applyAlignment="1">
      <alignment horizontal="center" vertical="center"/>
    </xf>
    <xf numFmtId="169" fontId="4" fillId="14" borderId="1" xfId="1"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14" fontId="7" fillId="16" borderId="1" xfId="1" applyNumberFormat="1" applyFont="1" applyFill="1" applyBorder="1" applyAlignment="1">
      <alignment horizontal="center" vertical="center" wrapText="1"/>
    </xf>
    <xf numFmtId="14" fontId="7" fillId="5" borderId="1" xfId="1" applyNumberFormat="1" applyFont="1" applyFill="1" applyBorder="1" applyAlignment="1">
      <alignment horizontal="center" vertical="center" wrapText="1"/>
    </xf>
    <xf numFmtId="14" fontId="7" fillId="7" borderId="1" xfId="1" applyNumberFormat="1" applyFont="1" applyFill="1" applyBorder="1" applyAlignment="1">
      <alignment horizontal="center" vertical="center" wrapText="1"/>
    </xf>
    <xf numFmtId="9" fontId="7" fillId="16" borderId="1" xfId="1" applyNumberFormat="1" applyFont="1" applyFill="1" applyBorder="1" applyAlignment="1">
      <alignment horizontal="center" vertical="center" wrapText="1"/>
    </xf>
    <xf numFmtId="14" fontId="6" fillId="18" borderId="4" xfId="3"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14" fontId="7" fillId="2" borderId="0" xfId="1" applyNumberFormat="1" applyFont="1" applyFill="1" applyAlignment="1">
      <alignment horizontal="center" vertical="center" wrapText="1"/>
    </xf>
    <xf numFmtId="43" fontId="7" fillId="2" borderId="0" xfId="1" applyFont="1" applyFill="1" applyAlignment="1">
      <alignment horizontal="center" wrapText="1"/>
    </xf>
    <xf numFmtId="14" fontId="7" fillId="2" borderId="0" xfId="1" applyNumberFormat="1" applyFont="1" applyFill="1" applyAlignment="1">
      <alignment horizontal="center" wrapText="1"/>
    </xf>
    <xf numFmtId="43" fontId="7" fillId="5" borderId="7" xfId="1" applyFont="1" applyFill="1" applyBorder="1" applyAlignment="1">
      <alignment horizontal="center" vertical="center" wrapText="1"/>
    </xf>
    <xf numFmtId="43" fontId="7" fillId="7" borderId="7" xfId="1" applyFont="1" applyFill="1" applyBorder="1" applyAlignment="1">
      <alignment horizontal="center" vertical="center" wrapText="1"/>
    </xf>
    <xf numFmtId="0" fontId="8" fillId="16" borderId="1" xfId="0" applyFont="1" applyFill="1" applyBorder="1" applyAlignment="1">
      <alignment horizontal="center" vertical="center" wrapText="1"/>
    </xf>
    <xf numFmtId="9" fontId="8" fillId="16" borderId="1" xfId="0" applyNumberFormat="1" applyFont="1" applyFill="1" applyBorder="1" applyAlignment="1">
      <alignment horizontal="center" vertical="center" wrapText="1"/>
    </xf>
    <xf numFmtId="14" fontId="8" fillId="16" borderId="1"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22" fillId="0" borderId="14" xfId="0" applyFont="1" applyBorder="1" applyAlignment="1">
      <alignment vertical="center"/>
    </xf>
    <xf numFmtId="0" fontId="78" fillId="0" borderId="0" xfId="0" applyFont="1"/>
    <xf numFmtId="10" fontId="22" fillId="7" borderId="43" xfId="2" applyNumberFormat="1" applyFont="1" applyFill="1" applyBorder="1" applyAlignment="1">
      <alignment horizontal="center" vertical="center"/>
    </xf>
    <xf numFmtId="0" fontId="17" fillId="9" borderId="1" xfId="0" applyFont="1" applyFill="1" applyBorder="1" applyAlignment="1">
      <alignment horizontal="center" vertical="center" wrapText="1"/>
    </xf>
    <xf numFmtId="0" fontId="21" fillId="0" borderId="0" xfId="0" applyFont="1" applyAlignment="1">
      <alignment vertical="center"/>
    </xf>
    <xf numFmtId="0" fontId="21" fillId="0" borderId="1" xfId="0" applyFont="1" applyBorder="1" applyAlignment="1">
      <alignment vertical="center"/>
    </xf>
    <xf numFmtId="43" fontId="22" fillId="0" borderId="1" xfId="0" applyNumberFormat="1" applyFont="1" applyBorder="1" applyAlignment="1">
      <alignment vertical="center"/>
    </xf>
    <xf numFmtId="10" fontId="22" fillId="0" borderId="1" xfId="0" applyNumberFormat="1" applyFont="1" applyBorder="1" applyAlignment="1">
      <alignment horizontal="center" vertical="center"/>
    </xf>
    <xf numFmtId="10" fontId="24" fillId="5" borderId="1" xfId="0" applyNumberFormat="1" applyFont="1" applyFill="1" applyBorder="1" applyAlignment="1">
      <alignment horizontal="center" vertical="center" wrapText="1"/>
    </xf>
    <xf numFmtId="43" fontId="24" fillId="3" borderId="1" xfId="1" applyFont="1" applyFill="1" applyBorder="1" applyAlignment="1">
      <alignment horizontal="center" vertical="center" wrapText="1"/>
    </xf>
    <xf numFmtId="10" fontId="24" fillId="3" borderId="1" xfId="0" applyNumberFormat="1" applyFont="1" applyFill="1" applyBorder="1" applyAlignment="1">
      <alignment horizontal="center" vertical="center" wrapText="1"/>
    </xf>
    <xf numFmtId="43" fontId="25" fillId="3" borderId="1" xfId="1" applyFont="1" applyFill="1" applyBorder="1" applyAlignment="1">
      <alignment horizontal="center" vertical="center" wrapText="1"/>
    </xf>
    <xf numFmtId="10" fontId="25" fillId="7" borderId="1" xfId="0" applyNumberFormat="1" applyFont="1" applyFill="1" applyBorder="1" applyAlignment="1">
      <alignment horizontal="center" vertical="center" wrapText="1"/>
    </xf>
    <xf numFmtId="10" fontId="28" fillId="6" borderId="1" xfId="0" applyNumberFormat="1" applyFont="1" applyFill="1" applyBorder="1" applyAlignment="1">
      <alignment horizontal="center" vertical="center" wrapText="1"/>
    </xf>
    <xf numFmtId="43" fontId="25" fillId="6" borderId="1" xfId="1" applyFont="1" applyFill="1" applyBorder="1" applyAlignment="1">
      <alignment horizontal="center" vertical="center" wrapText="1"/>
    </xf>
    <xf numFmtId="43" fontId="24" fillId="5" borderId="1" xfId="1" applyFont="1" applyFill="1" applyBorder="1" applyAlignment="1">
      <alignment horizontal="center" vertical="center" wrapText="1"/>
    </xf>
    <xf numFmtId="43" fontId="25" fillId="5" borderId="1" xfId="1"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43" fontId="24" fillId="0" borderId="1" xfId="1" applyFont="1" applyBorder="1" applyAlignment="1">
      <alignment horizontal="center" vertical="center" wrapText="1"/>
    </xf>
    <xf numFmtId="10" fontId="24" fillId="0" borderId="1" xfId="0" applyNumberFormat="1" applyFont="1" applyBorder="1" applyAlignment="1">
      <alignment horizontal="center" vertical="center" wrapText="1"/>
    </xf>
    <xf numFmtId="43" fontId="25" fillId="0" borderId="1" xfId="1" applyFont="1" applyBorder="1" applyAlignment="1">
      <alignment horizontal="center" vertical="center" wrapText="1"/>
    </xf>
    <xf numFmtId="0" fontId="21" fillId="0" borderId="1" xfId="0" applyFont="1" applyBorder="1" applyAlignment="1">
      <alignment horizontal="left" vertical="center" wrapText="1"/>
    </xf>
    <xf numFmtId="10" fontId="18" fillId="0" borderId="1" xfId="2" applyNumberFormat="1" applyFont="1" applyFill="1" applyBorder="1" applyAlignment="1">
      <alignment horizontal="center" vertical="center" wrapText="1"/>
    </xf>
    <xf numFmtId="43" fontId="18" fillId="0" borderId="7" xfId="1" applyFont="1" applyFill="1" applyBorder="1" applyAlignment="1">
      <alignment vertical="center" wrapText="1"/>
    </xf>
    <xf numFmtId="0" fontId="81" fillId="13" borderId="3" xfId="0" applyFont="1" applyFill="1" applyBorder="1" applyAlignment="1">
      <alignment horizontal="center" vertical="center" wrapText="1"/>
    </xf>
    <xf numFmtId="0" fontId="82" fillId="27" borderId="1" xfId="0" applyFont="1" applyFill="1" applyBorder="1" applyAlignment="1">
      <alignment horizontal="center" vertical="center" wrapText="1"/>
    </xf>
    <xf numFmtId="0" fontId="82" fillId="27" borderId="1" xfId="0" applyFont="1" applyFill="1" applyBorder="1" applyAlignment="1">
      <alignment horizontal="center" vertical="center"/>
    </xf>
    <xf numFmtId="0" fontId="82" fillId="27" borderId="2" xfId="0" applyFont="1" applyFill="1" applyBorder="1" applyAlignment="1">
      <alignment horizontal="center" vertical="center" wrapText="1"/>
    </xf>
    <xf numFmtId="0" fontId="81" fillId="13" borderId="1" xfId="0" applyFont="1" applyFill="1" applyBorder="1" applyAlignment="1">
      <alignment horizontal="left" vertical="center" wrapText="1"/>
    </xf>
    <xf numFmtId="0" fontId="81" fillId="2" borderId="0" xfId="0" applyFont="1" applyFill="1" applyAlignment="1">
      <alignment horizontal="center" vertical="center" wrapText="1"/>
    </xf>
    <xf numFmtId="0" fontId="81" fillId="0" borderId="0" xfId="0" applyFont="1"/>
    <xf numFmtId="0" fontId="81" fillId="0" borderId="0" xfId="0" applyFont="1" applyAlignment="1">
      <alignment horizontal="center" vertical="center"/>
    </xf>
    <xf numFmtId="43" fontId="82" fillId="13" borderId="1" xfId="1" applyFont="1" applyFill="1" applyBorder="1" applyAlignment="1">
      <alignment vertical="center" wrapText="1"/>
    </xf>
    <xf numFmtId="10" fontId="82" fillId="13" borderId="1" xfId="2" applyNumberFormat="1" applyFont="1" applyFill="1" applyBorder="1" applyAlignment="1">
      <alignment horizontal="center" vertical="center" wrapText="1"/>
    </xf>
    <xf numFmtId="43" fontId="82" fillId="27" borderId="1" xfId="1" applyFont="1" applyFill="1" applyBorder="1" applyAlignment="1">
      <alignment horizontal="center" vertical="center"/>
    </xf>
    <xf numFmtId="10" fontId="82" fillId="27" borderId="1" xfId="0" applyNumberFormat="1" applyFont="1" applyFill="1" applyBorder="1" applyAlignment="1">
      <alignment horizontal="center" vertical="center"/>
    </xf>
    <xf numFmtId="0" fontId="22" fillId="2" borderId="66" xfId="0" applyFont="1" applyFill="1" applyBorder="1" applyAlignment="1">
      <alignment horizontal="center" vertical="center" wrapText="1"/>
    </xf>
    <xf numFmtId="0" fontId="18" fillId="2" borderId="16" xfId="0" applyFont="1" applyFill="1" applyBorder="1" applyAlignment="1">
      <alignment horizontal="left" vertical="center" wrapText="1"/>
    </xf>
    <xf numFmtId="43" fontId="18" fillId="2" borderId="16" xfId="1" applyFont="1" applyFill="1" applyBorder="1" applyAlignment="1">
      <alignment vertical="center" wrapText="1"/>
    </xf>
    <xf numFmtId="43" fontId="18" fillId="2" borderId="69" xfId="1" applyFont="1" applyFill="1" applyBorder="1" applyAlignment="1">
      <alignment vertical="center" wrapText="1"/>
    </xf>
    <xf numFmtId="43" fontId="18" fillId="2" borderId="15" xfId="1" applyFont="1" applyFill="1" applyBorder="1" applyAlignment="1">
      <alignment vertical="center" wrapText="1"/>
    </xf>
    <xf numFmtId="10" fontId="18" fillId="2" borderId="17" xfId="2" applyNumberFormat="1" applyFont="1" applyFill="1" applyBorder="1" applyAlignment="1">
      <alignment horizontal="center" vertical="center" wrapText="1"/>
    </xf>
    <xf numFmtId="43" fontId="18" fillId="2" borderId="15" xfId="1" applyFont="1" applyFill="1" applyBorder="1" applyAlignment="1">
      <alignment horizontal="center" vertical="center" wrapText="1"/>
    </xf>
    <xf numFmtId="43" fontId="18" fillId="2" borderId="17" xfId="1" applyFont="1" applyFill="1" applyBorder="1" applyAlignment="1">
      <alignment horizontal="center" vertical="center" wrapText="1"/>
    </xf>
    <xf numFmtId="43" fontId="18" fillId="2" borderId="66" xfId="1" applyFont="1" applyFill="1" applyBorder="1" applyAlignment="1">
      <alignment vertical="center" wrapText="1"/>
    </xf>
    <xf numFmtId="10" fontId="22" fillId="2" borderId="22" xfId="2" applyNumberFormat="1" applyFont="1" applyFill="1" applyBorder="1" applyAlignment="1">
      <alignment horizontal="center" vertical="center"/>
    </xf>
    <xf numFmtId="0" fontId="18" fillId="2" borderId="1" xfId="0" applyFont="1" applyFill="1" applyBorder="1" applyAlignment="1">
      <alignment horizontal="left" vertical="center" wrapText="1"/>
    </xf>
    <xf numFmtId="43" fontId="18" fillId="2" borderId="1" xfId="1" applyFont="1" applyFill="1" applyBorder="1" applyAlignment="1">
      <alignment vertical="center" wrapText="1"/>
    </xf>
    <xf numFmtId="43" fontId="18" fillId="2" borderId="5" xfId="1" applyFont="1" applyFill="1" applyBorder="1" applyAlignment="1">
      <alignment vertical="center" wrapText="1"/>
    </xf>
    <xf numFmtId="43" fontId="18" fillId="2" borderId="21" xfId="1" applyFont="1" applyFill="1" applyBorder="1" applyAlignment="1">
      <alignment vertical="center" wrapText="1"/>
    </xf>
    <xf numFmtId="10" fontId="18" fillId="2" borderId="22" xfId="2" applyNumberFormat="1" applyFont="1" applyFill="1" applyBorder="1" applyAlignment="1">
      <alignment horizontal="center" vertical="center" wrapText="1"/>
    </xf>
    <xf numFmtId="43" fontId="18" fillId="2" borderId="21" xfId="1" applyFont="1" applyFill="1" applyBorder="1" applyAlignment="1">
      <alignment horizontal="center" vertical="center" wrapText="1"/>
    </xf>
    <xf numFmtId="43" fontId="18" fillId="2" borderId="22" xfId="1" applyFont="1" applyFill="1" applyBorder="1" applyAlignment="1">
      <alignment horizontal="center" vertical="center" wrapText="1"/>
    </xf>
    <xf numFmtId="43" fontId="18" fillId="2" borderId="7" xfId="1" applyFont="1" applyFill="1" applyBorder="1" applyAlignment="1">
      <alignment vertical="center" wrapText="1"/>
    </xf>
    <xf numFmtId="43" fontId="18" fillId="2" borderId="22" xfId="1" applyFont="1" applyFill="1" applyBorder="1" applyAlignment="1">
      <alignment vertical="center" wrapText="1"/>
    </xf>
    <xf numFmtId="0" fontId="21" fillId="2" borderId="2" xfId="0" applyFont="1" applyFill="1" applyBorder="1" applyAlignment="1">
      <alignment horizontal="left" vertical="center" wrapText="1"/>
    </xf>
    <xf numFmtId="43" fontId="18" fillId="2" borderId="2" xfId="1" applyFont="1" applyFill="1" applyBorder="1" applyAlignment="1">
      <alignment vertical="center" wrapText="1"/>
    </xf>
    <xf numFmtId="43" fontId="18" fillId="2" borderId="8" xfId="1" applyFont="1" applyFill="1" applyBorder="1" applyAlignment="1">
      <alignment vertical="center" wrapText="1"/>
    </xf>
    <xf numFmtId="43" fontId="18" fillId="2" borderId="64" xfId="1" applyFont="1" applyFill="1" applyBorder="1" applyAlignment="1">
      <alignment vertical="center" wrapText="1"/>
    </xf>
    <xf numFmtId="10" fontId="18" fillId="2" borderId="59" xfId="2" applyNumberFormat="1" applyFont="1" applyFill="1" applyBorder="1" applyAlignment="1">
      <alignment horizontal="center" vertical="center" wrapText="1"/>
    </xf>
    <xf numFmtId="43" fontId="18" fillId="2" borderId="64" xfId="1" applyFont="1" applyFill="1" applyBorder="1" applyAlignment="1">
      <alignment horizontal="center" vertical="center" wrapText="1"/>
    </xf>
    <xf numFmtId="43" fontId="18" fillId="2" borderId="59" xfId="1" applyFont="1" applyFill="1" applyBorder="1" applyAlignment="1">
      <alignment horizontal="center" vertical="center" wrapText="1"/>
    </xf>
    <xf numFmtId="43" fontId="18" fillId="2" borderId="9" xfId="1" applyFont="1" applyFill="1" applyBorder="1" applyAlignment="1">
      <alignment vertical="center" wrapText="1"/>
    </xf>
    <xf numFmtId="10" fontId="22" fillId="2" borderId="59" xfId="2" applyNumberFormat="1" applyFont="1" applyFill="1" applyBorder="1" applyAlignment="1">
      <alignment horizontal="center" vertical="center"/>
    </xf>
    <xf numFmtId="164" fontId="18" fillId="2" borderId="16" xfId="0" applyNumberFormat="1" applyFont="1" applyFill="1" applyBorder="1" applyAlignment="1">
      <alignment vertical="center" wrapText="1"/>
    </xf>
    <xf numFmtId="164" fontId="18" fillId="2" borderId="69" xfId="0" applyNumberFormat="1" applyFont="1" applyFill="1" applyBorder="1" applyAlignment="1">
      <alignment vertical="center" wrapText="1"/>
    </xf>
    <xf numFmtId="164" fontId="18" fillId="2" borderId="15" xfId="0" applyNumberFormat="1" applyFont="1" applyFill="1" applyBorder="1" applyAlignment="1">
      <alignment vertical="center" wrapText="1"/>
    </xf>
    <xf numFmtId="10" fontId="22" fillId="2" borderId="17" xfId="2" applyNumberFormat="1" applyFont="1" applyFill="1" applyBorder="1" applyAlignment="1">
      <alignment horizontal="center" vertical="center"/>
    </xf>
    <xf numFmtId="0" fontId="18" fillId="2" borderId="2" xfId="0" applyFont="1" applyFill="1" applyBorder="1" applyAlignment="1">
      <alignment horizontal="left" vertical="center" wrapText="1"/>
    </xf>
    <xf numFmtId="43" fontId="18" fillId="2" borderId="18" xfId="1" applyFont="1" applyFill="1" applyBorder="1" applyAlignment="1">
      <alignment vertical="center" wrapText="1"/>
    </xf>
    <xf numFmtId="10" fontId="22" fillId="2" borderId="20" xfId="2" applyNumberFormat="1" applyFont="1" applyFill="1" applyBorder="1" applyAlignment="1">
      <alignment horizontal="center" vertical="center"/>
    </xf>
    <xf numFmtId="0" fontId="82" fillId="28" borderId="55" xfId="0" applyFont="1" applyFill="1" applyBorder="1" applyAlignment="1">
      <alignment horizontal="center" vertical="center" wrapText="1"/>
    </xf>
    <xf numFmtId="0" fontId="82" fillId="28" borderId="56" xfId="0" applyFont="1" applyFill="1" applyBorder="1" applyAlignment="1">
      <alignment horizontal="center" vertical="center" wrapText="1"/>
    </xf>
    <xf numFmtId="0" fontId="82" fillId="28" borderId="62" xfId="0" applyFont="1" applyFill="1" applyBorder="1" applyAlignment="1">
      <alignment horizontal="center" vertical="center" wrapText="1"/>
    </xf>
    <xf numFmtId="0" fontId="82" fillId="28" borderId="13" xfId="0" applyFont="1" applyFill="1" applyBorder="1" applyAlignment="1">
      <alignment horizontal="center" vertical="center" wrapText="1"/>
    </xf>
    <xf numFmtId="0" fontId="82" fillId="28" borderId="3" xfId="0" applyFont="1" applyFill="1" applyBorder="1" applyAlignment="1">
      <alignment horizontal="center" vertical="center" wrapText="1"/>
    </xf>
    <xf numFmtId="0" fontId="82" fillId="28" borderId="12" xfId="0" applyFont="1" applyFill="1" applyBorder="1" applyAlignment="1">
      <alignment horizontal="center" vertical="center" wrapText="1"/>
    </xf>
    <xf numFmtId="0" fontId="82" fillId="28" borderId="31" xfId="0" applyFont="1" applyFill="1" applyBorder="1" applyAlignment="1">
      <alignment horizontal="center" vertical="center" wrapText="1"/>
    </xf>
    <xf numFmtId="0" fontId="82" fillId="28" borderId="36" xfId="0" applyFont="1" applyFill="1" applyBorder="1" applyAlignment="1">
      <alignment horizontal="center" vertical="center"/>
    </xf>
    <xf numFmtId="0" fontId="82" fillId="28" borderId="30" xfId="0" applyFont="1" applyFill="1" applyBorder="1" applyAlignment="1">
      <alignment horizontal="center" vertical="center" wrapText="1"/>
    </xf>
    <xf numFmtId="0" fontId="82" fillId="28" borderId="36" xfId="0" applyFont="1" applyFill="1" applyBorder="1" applyAlignment="1">
      <alignment horizontal="center" vertical="center" wrapText="1"/>
    </xf>
    <xf numFmtId="43" fontId="82" fillId="13" borderId="56" xfId="1" applyFont="1" applyFill="1" applyBorder="1" applyAlignment="1">
      <alignment vertical="center" wrapText="1"/>
    </xf>
    <xf numFmtId="43" fontId="82" fillId="13" borderId="62" xfId="1" applyFont="1" applyFill="1" applyBorder="1" applyAlignment="1">
      <alignment vertical="center" wrapText="1"/>
    </xf>
    <xf numFmtId="43" fontId="82" fillId="13" borderId="58" xfId="1" applyFont="1" applyFill="1" applyBorder="1" applyAlignment="1">
      <alignment vertical="center" wrapText="1"/>
    </xf>
    <xf numFmtId="10" fontId="82" fillId="13" borderId="57" xfId="2" applyNumberFormat="1" applyFont="1" applyFill="1" applyBorder="1" applyAlignment="1">
      <alignment horizontal="center" vertical="center" wrapText="1"/>
    </xf>
    <xf numFmtId="43" fontId="82" fillId="13" borderId="57" xfId="1" applyFont="1" applyFill="1" applyBorder="1" applyAlignment="1">
      <alignment vertical="center" wrapText="1"/>
    </xf>
    <xf numFmtId="43" fontId="82" fillId="13" borderId="36" xfId="1" applyFont="1" applyFill="1" applyBorder="1" applyAlignment="1">
      <alignment vertical="center" wrapText="1"/>
    </xf>
    <xf numFmtId="10" fontId="81" fillId="13" borderId="67" xfId="2" applyNumberFormat="1" applyFont="1" applyFill="1" applyBorder="1" applyAlignment="1">
      <alignment horizontal="center" vertical="center"/>
    </xf>
    <xf numFmtId="43" fontId="82" fillId="13" borderId="68" xfId="1" applyFont="1" applyFill="1" applyBorder="1" applyAlignment="1">
      <alignment vertical="center" wrapText="1"/>
    </xf>
    <xf numFmtId="43" fontId="82" fillId="28" borderId="60" xfId="0" applyNumberFormat="1" applyFont="1" applyFill="1" applyBorder="1" applyAlignment="1">
      <alignment horizontal="center" vertical="center"/>
    </xf>
    <xf numFmtId="43" fontId="82" fillId="28" borderId="63" xfId="0" applyNumberFormat="1" applyFont="1" applyFill="1" applyBorder="1" applyAlignment="1">
      <alignment horizontal="center" vertical="center"/>
    </xf>
    <xf numFmtId="43" fontId="82" fillId="28" borderId="68" xfId="0" applyNumberFormat="1" applyFont="1" applyFill="1" applyBorder="1" applyAlignment="1">
      <alignment horizontal="center" vertical="center"/>
    </xf>
    <xf numFmtId="9" fontId="82" fillId="28" borderId="61" xfId="0" applyNumberFormat="1" applyFont="1" applyFill="1" applyBorder="1" applyAlignment="1">
      <alignment horizontal="center" vertical="center"/>
    </xf>
    <xf numFmtId="43" fontId="82" fillId="28" borderId="38" xfId="0" applyNumberFormat="1" applyFont="1" applyFill="1" applyBorder="1" applyAlignment="1">
      <alignment horizontal="center" vertical="center"/>
    </xf>
    <xf numFmtId="14" fontId="4" fillId="16" borderId="1" xfId="0" applyNumberFormat="1" applyFont="1" applyFill="1" applyBorder="1" applyAlignment="1">
      <alignment horizontal="center" vertical="center" wrapText="1"/>
    </xf>
    <xf numFmtId="43" fontId="27" fillId="2" borderId="0" xfId="0" applyNumberFormat="1" applyFont="1" applyFill="1" applyAlignment="1">
      <alignment horizontal="center"/>
    </xf>
    <xf numFmtId="43" fontId="7" fillId="0" borderId="0" xfId="1" applyFont="1" applyFill="1"/>
    <xf numFmtId="9" fontId="7" fillId="0" borderId="1" xfId="1"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17" fontId="7" fillId="0" borderId="1" xfId="0" applyNumberFormat="1" applyFont="1" applyBorder="1" applyAlignment="1">
      <alignment horizontal="center" vertical="center" wrapText="1"/>
    </xf>
    <xf numFmtId="43" fontId="73" fillId="0" borderId="0" xfId="0" applyNumberFormat="1" applyFont="1"/>
    <xf numFmtId="43" fontId="73" fillId="2" borderId="1" xfId="1" applyFont="1" applyFill="1" applyBorder="1" applyAlignment="1">
      <alignment vertical="center"/>
    </xf>
    <xf numFmtId="0" fontId="85" fillId="0" borderId="0" xfId="0" applyFont="1" applyAlignment="1">
      <alignment vertical="center"/>
    </xf>
    <xf numFmtId="0" fontId="86" fillId="0" borderId="0" xfId="0" applyFont="1" applyAlignment="1">
      <alignment horizontal="center" vertical="top"/>
    </xf>
    <xf numFmtId="0" fontId="86" fillId="0" borderId="0" xfId="0" applyFont="1" applyAlignment="1">
      <alignment vertical="top" wrapText="1"/>
    </xf>
    <xf numFmtId="0" fontId="86" fillId="0" borderId="0" xfId="0" applyFont="1" applyAlignment="1">
      <alignment horizontal="center" vertical="top" wrapText="1"/>
    </xf>
    <xf numFmtId="170" fontId="86" fillId="0" borderId="0" xfId="0" applyNumberFormat="1" applyFont="1" applyAlignment="1">
      <alignment horizontal="center" vertical="top"/>
    </xf>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85" fillId="0" borderId="0" xfId="0" applyFont="1" applyAlignment="1">
      <alignment horizontal="center" vertical="center" wrapText="1"/>
    </xf>
    <xf numFmtId="0" fontId="87" fillId="7" borderId="1" xfId="0" applyFont="1" applyFill="1" applyBorder="1" applyAlignment="1">
      <alignment horizontal="center" vertical="center" wrapText="1"/>
    </xf>
    <xf numFmtId="170" fontId="87" fillId="7"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6" fillId="0" borderId="1" xfId="0" applyFont="1" applyBorder="1" applyAlignment="1">
      <alignment horizontal="center" vertical="center"/>
    </xf>
    <xf numFmtId="0" fontId="86" fillId="0" borderId="1" xfId="0" applyFont="1" applyBorder="1" applyAlignment="1">
      <alignment horizontal="center" vertical="center" wrapText="1"/>
    </xf>
    <xf numFmtId="43" fontId="88" fillId="0" borderId="1" xfId="1" applyFont="1" applyFill="1" applyBorder="1" applyAlignment="1" applyProtection="1">
      <alignment horizontal="center" vertical="center"/>
    </xf>
    <xf numFmtId="0" fontId="89" fillId="0" borderId="1" xfId="9" applyBorder="1" applyAlignment="1">
      <alignment vertical="center" wrapText="1"/>
    </xf>
    <xf numFmtId="43" fontId="86" fillId="0" borderId="1" xfId="1" applyFont="1" applyBorder="1" applyAlignment="1">
      <alignment horizontal="center" vertical="center"/>
    </xf>
    <xf numFmtId="0" fontId="90" fillId="0" borderId="1" xfId="0" applyFont="1" applyBorder="1" applyAlignment="1">
      <alignment horizontal="center" vertical="center"/>
    </xf>
    <xf numFmtId="0" fontId="90" fillId="0" borderId="1" xfId="0" applyFont="1" applyBorder="1" applyAlignment="1">
      <alignment vertical="center" wrapText="1"/>
    </xf>
    <xf numFmtId="0" fontId="90" fillId="0" borderId="1" xfId="0" applyFont="1" applyBorder="1" applyAlignment="1">
      <alignment horizontal="center" vertical="center" wrapText="1"/>
    </xf>
    <xf numFmtId="43" fontId="90" fillId="0" borderId="1" xfId="1" applyFont="1" applyBorder="1" applyAlignment="1">
      <alignment horizontal="center" vertical="center"/>
    </xf>
    <xf numFmtId="0" fontId="91" fillId="0" borderId="1" xfId="9" applyFont="1" applyBorder="1" applyAlignment="1">
      <alignment vertical="center" wrapText="1"/>
    </xf>
    <xf numFmtId="0" fontId="83" fillId="0" borderId="1" xfId="0" applyFont="1" applyBorder="1" applyAlignment="1">
      <alignment horizontal="center" vertical="center" wrapText="1"/>
    </xf>
    <xf numFmtId="43" fontId="86" fillId="0" borderId="1" xfId="1" applyFont="1" applyFill="1" applyBorder="1" applyAlignment="1">
      <alignment horizontal="center" vertical="center"/>
    </xf>
    <xf numFmtId="0" fontId="89" fillId="0" borderId="1" xfId="9" applyFill="1" applyBorder="1" applyAlignment="1">
      <alignment vertical="center" wrapText="1"/>
    </xf>
    <xf numFmtId="0" fontId="0" fillId="0" borderId="1" xfId="0" applyBorder="1" applyAlignment="1">
      <alignment vertical="center" wrapText="1"/>
    </xf>
    <xf numFmtId="0" fontId="86" fillId="18" borderId="1" xfId="0" applyFont="1" applyFill="1" applyBorder="1" applyAlignment="1">
      <alignment vertical="center" wrapText="1"/>
    </xf>
    <xf numFmtId="0" fontId="0" fillId="0" borderId="1" xfId="0" applyBorder="1" applyAlignment="1">
      <alignment horizontal="center" wrapText="1"/>
    </xf>
    <xf numFmtId="0" fontId="83" fillId="0" borderId="1" xfId="0" applyFont="1" applyBorder="1" applyAlignment="1">
      <alignment vertical="center" wrapText="1"/>
    </xf>
    <xf numFmtId="169" fontId="6" fillId="3" borderId="1" xfId="1" applyNumberFormat="1" applyFont="1" applyFill="1" applyBorder="1" applyAlignment="1">
      <alignment horizontal="center" vertical="center" wrapText="1"/>
    </xf>
    <xf numFmtId="0" fontId="90" fillId="18" borderId="1" xfId="0" applyFont="1" applyFill="1" applyBorder="1" applyAlignment="1">
      <alignment vertical="center" wrapText="1"/>
    </xf>
    <xf numFmtId="0" fontId="92" fillId="13" borderId="1" xfId="0" applyFont="1" applyFill="1" applyBorder="1" applyAlignment="1">
      <alignment vertical="center" wrapText="1"/>
    </xf>
    <xf numFmtId="43" fontId="4" fillId="14" borderId="1" xfId="1" applyFont="1" applyFill="1" applyBorder="1" applyAlignment="1">
      <alignment horizontal="center" vertical="center" wrapText="1"/>
    </xf>
    <xf numFmtId="0" fontId="4" fillId="14" borderId="1" xfId="3" applyFont="1" applyFill="1" applyBorder="1" applyAlignment="1">
      <alignment horizontal="center" vertical="center" wrapText="1"/>
    </xf>
    <xf numFmtId="43" fontId="4" fillId="6" borderId="4" xfId="1" applyFont="1" applyFill="1" applyBorder="1" applyAlignment="1">
      <alignment horizontal="center" vertical="center" wrapText="1"/>
    </xf>
    <xf numFmtId="0" fontId="6" fillId="15" borderId="6" xfId="3" applyFont="1" applyFill="1" applyBorder="1" applyAlignment="1">
      <alignment horizontal="center" vertical="center" wrapText="1"/>
    </xf>
    <xf numFmtId="4" fontId="7" fillId="2" borderId="1" xfId="0" applyNumberFormat="1" applyFont="1" applyFill="1" applyBorder="1" applyAlignment="1">
      <alignment vertical="center"/>
    </xf>
    <xf numFmtId="0" fontId="9" fillId="2" borderId="1" xfId="0" applyFont="1" applyFill="1" applyBorder="1" applyAlignment="1">
      <alignment horizontal="justify" vertical="center"/>
    </xf>
    <xf numFmtId="43" fontId="73" fillId="0" borderId="0" xfId="1" applyFont="1" applyBorder="1" applyAlignment="1">
      <alignment vertical="center"/>
    </xf>
    <xf numFmtId="0" fontId="7" fillId="2" borderId="1" xfId="0" applyFont="1" applyFill="1" applyBorder="1" applyAlignment="1">
      <alignment horizontal="justify" vertical="center"/>
    </xf>
    <xf numFmtId="43" fontId="7" fillId="2" borderId="1" xfId="0" applyNumberFormat="1" applyFont="1" applyFill="1" applyBorder="1" applyAlignment="1">
      <alignment vertical="center" wrapText="1"/>
    </xf>
    <xf numFmtId="0" fontId="82" fillId="28" borderId="31" xfId="0" applyFont="1" applyFill="1" applyBorder="1" applyAlignment="1">
      <alignment horizontal="center" vertical="center"/>
    </xf>
    <xf numFmtId="0" fontId="70" fillId="0" borderId="0" xfId="0" applyFont="1" applyAlignment="1">
      <alignment wrapText="1"/>
    </xf>
    <xf numFmtId="43" fontId="70" fillId="0" borderId="0" xfId="1" applyFont="1" applyBorder="1" applyAlignment="1">
      <alignment horizontal="right" vertical="center" wrapText="1"/>
    </xf>
    <xf numFmtId="43" fontId="70" fillId="0" borderId="0" xfId="1" applyFont="1" applyBorder="1" applyAlignment="1">
      <alignment vertical="center"/>
    </xf>
    <xf numFmtId="0" fontId="70" fillId="0" borderId="45" xfId="0" applyFont="1" applyBorder="1" applyAlignment="1">
      <alignment horizontal="right" vertical="center" wrapText="1"/>
    </xf>
    <xf numFmtId="43" fontId="70" fillId="0" borderId="56" xfId="1" applyFont="1" applyBorder="1" applyAlignment="1">
      <alignment vertical="center"/>
    </xf>
    <xf numFmtId="43" fontId="70" fillId="0" borderId="0" xfId="1" applyFont="1" applyBorder="1" applyAlignment="1">
      <alignment horizontal="center" vertical="center" wrapText="1"/>
    </xf>
    <xf numFmtId="0" fontId="82" fillId="28" borderId="31" xfId="0" applyFont="1" applyFill="1" applyBorder="1" applyAlignment="1">
      <alignment horizontal="center" vertical="center"/>
    </xf>
    <xf numFmtId="43" fontId="72" fillId="17" borderId="27" xfId="1" applyFont="1" applyFill="1" applyBorder="1" applyAlignment="1">
      <alignment horizontal="center" vertical="center" wrapText="1"/>
    </xf>
    <xf numFmtId="0" fontId="70" fillId="0" borderId="0" xfId="0" applyFont="1" applyAlignment="1">
      <alignment horizontal="left" vertical="center"/>
    </xf>
    <xf numFmtId="0" fontId="70" fillId="0" borderId="0" xfId="0" applyFont="1" applyAlignment="1">
      <alignment horizontal="center" vertical="center"/>
    </xf>
    <xf numFmtId="43" fontId="38" fillId="17" borderId="41" xfId="1" applyFont="1" applyFill="1" applyBorder="1" applyAlignment="1">
      <alignment horizontal="center" vertical="center" wrapText="1"/>
    </xf>
    <xf numFmtId="0" fontId="47" fillId="2" borderId="0" xfId="0" applyFont="1" applyFill="1" applyAlignment="1">
      <alignment horizontal="left"/>
    </xf>
    <xf numFmtId="0" fontId="84" fillId="0" borderId="15" xfId="0" applyFont="1" applyBorder="1" applyAlignment="1">
      <alignment horizontal="center" vertical="center"/>
    </xf>
    <xf numFmtId="0" fontId="84" fillId="0" borderId="16" xfId="0" applyFont="1" applyBorder="1" applyAlignment="1">
      <alignment horizontal="center" vertical="center"/>
    </xf>
    <xf numFmtId="0" fontId="84" fillId="0" borderId="17" xfId="0" applyFont="1" applyBorder="1" applyAlignment="1">
      <alignment horizontal="center" vertical="center"/>
    </xf>
    <xf numFmtId="0" fontId="84" fillId="0" borderId="18" xfId="0" applyFont="1" applyBorder="1" applyAlignment="1">
      <alignment horizontal="center" vertical="center"/>
    </xf>
    <xf numFmtId="0" fontId="84" fillId="0" borderId="19" xfId="0" applyFont="1" applyBorder="1" applyAlignment="1">
      <alignment horizontal="center" vertical="center"/>
    </xf>
    <xf numFmtId="0" fontId="84" fillId="0" borderId="20" xfId="0" applyFont="1" applyBorder="1" applyAlignment="1">
      <alignment horizontal="center" vertical="center"/>
    </xf>
    <xf numFmtId="0" fontId="25" fillId="3" borderId="1" xfId="0" applyFont="1" applyFill="1" applyBorder="1" applyAlignment="1">
      <alignment horizontal="center" vertical="center" wrapText="1"/>
    </xf>
    <xf numFmtId="17" fontId="25" fillId="6" borderId="1" xfId="0" applyNumberFormat="1" applyFont="1" applyFill="1" applyBorder="1" applyAlignment="1">
      <alignment horizontal="center" vertical="center" wrapText="1"/>
    </xf>
    <xf numFmtId="0" fontId="25" fillId="6" borderId="1" xfId="0" applyFont="1" applyFill="1" applyBorder="1" applyAlignment="1">
      <alignment horizontal="center" vertical="center" wrapText="1"/>
    </xf>
    <xf numFmtId="0" fontId="77" fillId="9" borderId="45" xfId="0" applyFont="1" applyFill="1" applyBorder="1" applyAlignment="1">
      <alignment horizontal="center" vertical="center"/>
    </xf>
    <xf numFmtId="0" fontId="77" fillId="9" borderId="46" xfId="0" applyFont="1" applyFill="1" applyBorder="1" applyAlignment="1">
      <alignment horizontal="center" vertical="center"/>
    </xf>
    <xf numFmtId="0" fontId="77" fillId="9" borderId="44" xfId="0" applyFont="1" applyFill="1" applyBorder="1" applyAlignment="1">
      <alignment horizontal="center" vertical="center"/>
    </xf>
    <xf numFmtId="0" fontId="81" fillId="28" borderId="60" xfId="0" applyFont="1" applyFill="1" applyBorder="1" applyAlignment="1">
      <alignment horizontal="center" vertical="center"/>
    </xf>
    <xf numFmtId="0" fontId="81" fillId="13" borderId="58" xfId="0" applyFont="1" applyFill="1" applyBorder="1" applyAlignment="1">
      <alignment horizontal="center" vertical="center" wrapText="1"/>
    </xf>
    <xf numFmtId="0" fontId="81" fillId="13" borderId="56" xfId="0" applyFont="1" applyFill="1" applyBorder="1" applyAlignment="1">
      <alignment horizontal="center" vertical="center" wrapText="1"/>
    </xf>
    <xf numFmtId="0" fontId="81" fillId="13" borderId="23" xfId="0" applyFont="1" applyFill="1" applyBorder="1" applyAlignment="1">
      <alignment horizontal="center" vertical="center" wrapText="1"/>
    </xf>
    <xf numFmtId="0" fontId="81" fillId="13" borderId="24" xfId="0" applyFont="1" applyFill="1" applyBorder="1" applyAlignment="1">
      <alignment horizontal="center" vertical="center" wrapText="1"/>
    </xf>
    <xf numFmtId="0" fontId="81" fillId="13" borderId="25"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81" fillId="13" borderId="45" xfId="0" applyFont="1" applyFill="1" applyBorder="1" applyAlignment="1">
      <alignment horizontal="center" vertical="center" wrapText="1"/>
    </xf>
    <xf numFmtId="0" fontId="81" fillId="13" borderId="55" xfId="0" applyFont="1" applyFill="1" applyBorder="1" applyAlignment="1">
      <alignment horizontal="center" vertical="center" wrapText="1"/>
    </xf>
    <xf numFmtId="0" fontId="22" fillId="2" borderId="0" xfId="0" applyFont="1" applyFill="1" applyAlignment="1">
      <alignment horizontal="center" vertical="center" wrapText="1"/>
    </xf>
    <xf numFmtId="0" fontId="81" fillId="13" borderId="2" xfId="0" applyFont="1" applyFill="1" applyBorder="1" applyAlignment="1">
      <alignment horizontal="center" vertical="center" wrapText="1"/>
    </xf>
    <xf numFmtId="0" fontId="81" fillId="13" borderId="4"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76" fillId="9" borderId="45" xfId="0" applyFont="1" applyFill="1" applyBorder="1" applyAlignment="1">
      <alignment horizontal="center" vertical="center"/>
    </xf>
    <xf numFmtId="0" fontId="76" fillId="9" borderId="46" xfId="0" applyFont="1" applyFill="1" applyBorder="1" applyAlignment="1">
      <alignment horizontal="center" vertical="center"/>
    </xf>
    <xf numFmtId="0" fontId="76" fillId="9" borderId="44" xfId="0" applyFont="1" applyFill="1" applyBorder="1" applyAlignment="1">
      <alignment horizontal="center" vertical="center"/>
    </xf>
    <xf numFmtId="0" fontId="82" fillId="28" borderId="45" xfId="0" applyFont="1" applyFill="1" applyBorder="1" applyAlignment="1">
      <alignment horizontal="center" vertical="center" wrapText="1"/>
    </xf>
    <xf numFmtId="0" fontId="82" fillId="28" borderId="44" xfId="0" applyFont="1" applyFill="1" applyBorder="1" applyAlignment="1">
      <alignment horizontal="center" vertical="center" wrapText="1"/>
    </xf>
    <xf numFmtId="0" fontId="82" fillId="28" borderId="30" xfId="0" applyFont="1" applyFill="1" applyBorder="1" applyAlignment="1">
      <alignment horizontal="center" vertical="center" wrapText="1"/>
    </xf>
    <xf numFmtId="0" fontId="82" fillId="28" borderId="32" xfId="0" applyFont="1" applyFill="1" applyBorder="1" applyAlignment="1">
      <alignment horizontal="center" vertical="center" wrapText="1"/>
    </xf>
    <xf numFmtId="0" fontId="82" fillId="28" borderId="31" xfId="0" applyFont="1" applyFill="1" applyBorder="1" applyAlignment="1">
      <alignment horizontal="center" vertical="center"/>
    </xf>
    <xf numFmtId="0" fontId="82" fillId="28" borderId="33" xfId="0" applyFont="1" applyFill="1" applyBorder="1" applyAlignment="1">
      <alignment horizontal="center" vertical="center"/>
    </xf>
    <xf numFmtId="0" fontId="65" fillId="12"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82" fillId="28" borderId="45" xfId="0" applyFont="1" applyFill="1" applyBorder="1" applyAlignment="1">
      <alignment horizontal="center" vertical="center"/>
    </xf>
    <xf numFmtId="0" fontId="82" fillId="28" borderId="44" xfId="0" applyFont="1" applyFill="1" applyBorder="1" applyAlignment="1">
      <alignment horizontal="center" vertical="center"/>
    </xf>
    <xf numFmtId="14" fontId="79" fillId="0" borderId="0" xfId="0" applyNumberFormat="1" applyFont="1" applyAlignment="1">
      <alignment horizontal="center"/>
    </xf>
    <xf numFmtId="0" fontId="80" fillId="0" borderId="0" xfId="0" applyFont="1" applyAlignment="1">
      <alignment horizontal="center" vertical="center"/>
    </xf>
    <xf numFmtId="0" fontId="23" fillId="13" borderId="1" xfId="0" applyFont="1" applyFill="1" applyBorder="1" applyAlignment="1">
      <alignment horizontal="center" vertical="center" wrapText="1"/>
    </xf>
    <xf numFmtId="0" fontId="81" fillId="13" borderId="5" xfId="0" applyFont="1" applyFill="1" applyBorder="1" applyAlignment="1">
      <alignment horizontal="right" vertical="center" wrapText="1"/>
    </xf>
    <xf numFmtId="0" fontId="81" fillId="13" borderId="7" xfId="0" applyFont="1" applyFill="1" applyBorder="1" applyAlignment="1">
      <alignment horizontal="right" vertical="center" wrapText="1"/>
    </xf>
    <xf numFmtId="0" fontId="81" fillId="27" borderId="5" xfId="0" applyFont="1" applyFill="1" applyBorder="1" applyAlignment="1">
      <alignment horizontal="right" vertical="center" wrapText="1"/>
    </xf>
    <xf numFmtId="0" fontId="81" fillId="27" borderId="7" xfId="0" applyFont="1" applyFill="1" applyBorder="1" applyAlignment="1">
      <alignment horizontal="right" vertical="center" wrapText="1"/>
    </xf>
    <xf numFmtId="43" fontId="4" fillId="6" borderId="2" xfId="1" applyFont="1" applyFill="1" applyBorder="1" applyAlignment="1">
      <alignment horizontal="center" vertical="center" wrapText="1"/>
    </xf>
    <xf numFmtId="43" fontId="4" fillId="6" borderId="3" xfId="1" applyFont="1" applyFill="1" applyBorder="1" applyAlignment="1">
      <alignment horizontal="center" vertical="center" wrapText="1"/>
    </xf>
    <xf numFmtId="43" fontId="4" fillId="6" borderId="4" xfId="1" applyFont="1" applyFill="1" applyBorder="1" applyAlignment="1">
      <alignment horizontal="center" vertical="center" wrapText="1"/>
    </xf>
    <xf numFmtId="0" fontId="6" fillId="3" borderId="1" xfId="0" applyFont="1" applyFill="1" applyBorder="1" applyAlignment="1">
      <alignment horizontal="center" vertical="center" wrapText="1"/>
    </xf>
    <xf numFmtId="43" fontId="4" fillId="6" borderId="8" xfId="1" applyFont="1" applyFill="1" applyBorder="1" applyAlignment="1">
      <alignment horizontal="center" vertical="center" wrapText="1"/>
    </xf>
    <xf numFmtId="43" fontId="4" fillId="6" borderId="9" xfId="1" applyFont="1" applyFill="1" applyBorder="1" applyAlignment="1">
      <alignment horizontal="center" vertical="center" wrapText="1"/>
    </xf>
    <xf numFmtId="43" fontId="4" fillId="6" borderId="12" xfId="1" applyFont="1" applyFill="1" applyBorder="1" applyAlignment="1">
      <alignment horizontal="center" vertical="center" wrapText="1"/>
    </xf>
    <xf numFmtId="43" fontId="4" fillId="6" borderId="13" xfId="1" applyFont="1" applyFill="1" applyBorder="1" applyAlignment="1">
      <alignment horizontal="center" vertical="center" wrapText="1"/>
    </xf>
    <xf numFmtId="43" fontId="4" fillId="6" borderId="10" xfId="1" applyFont="1" applyFill="1" applyBorder="1" applyAlignment="1">
      <alignment horizontal="center" vertical="center" wrapText="1"/>
    </xf>
    <xf numFmtId="43" fontId="4" fillId="6" borderId="11" xfId="1" applyFont="1" applyFill="1" applyBorder="1" applyAlignment="1">
      <alignment horizontal="center" vertical="center" wrapText="1"/>
    </xf>
    <xf numFmtId="165" fontId="6" fillId="4" borderId="1" xfId="4"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44" fontId="6" fillId="3" borderId="1" xfId="5"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43" fontId="6" fillId="3" borderId="5" xfId="1" applyFont="1" applyFill="1" applyBorder="1" applyAlignment="1">
      <alignment horizontal="center" vertical="center" wrapText="1"/>
    </xf>
    <xf numFmtId="43" fontId="6" fillId="3" borderId="6" xfId="1" applyFont="1" applyFill="1" applyBorder="1" applyAlignment="1">
      <alignment horizontal="center" vertical="center" wrapText="1"/>
    </xf>
    <xf numFmtId="43" fontId="6" fillId="3" borderId="7" xfId="1" applyFont="1" applyFill="1" applyBorder="1" applyAlignment="1">
      <alignment horizontal="center" vertical="center" wrapText="1"/>
    </xf>
    <xf numFmtId="43" fontId="4" fillId="3" borderId="1" xfId="1" applyFont="1" applyFill="1" applyBorder="1" applyAlignment="1">
      <alignment horizontal="center" vertical="center" wrapText="1"/>
    </xf>
    <xf numFmtId="0" fontId="6" fillId="2" borderId="0" xfId="0" applyFont="1" applyFill="1" applyAlignment="1">
      <alignment horizontal="center" vertical="center" wrapText="1"/>
    </xf>
    <xf numFmtId="0" fontId="6" fillId="10" borderId="1" xfId="3" applyFont="1" applyFill="1" applyBorder="1" applyAlignment="1">
      <alignment horizontal="center" vertical="center" wrapText="1"/>
    </xf>
    <xf numFmtId="0" fontId="6" fillId="10" borderId="2" xfId="3" applyFont="1" applyFill="1" applyBorder="1" applyAlignment="1">
      <alignment horizontal="center" vertical="center" wrapText="1"/>
    </xf>
    <xf numFmtId="0" fontId="6" fillId="10" borderId="3" xfId="3" applyFont="1" applyFill="1" applyBorder="1" applyAlignment="1">
      <alignment horizontal="center" vertical="center" wrapText="1"/>
    </xf>
    <xf numFmtId="0" fontId="6" fillId="10" borderId="4" xfId="3" applyFont="1" applyFill="1" applyBorder="1" applyAlignment="1">
      <alignment horizontal="center" vertical="center" wrapText="1"/>
    </xf>
    <xf numFmtId="0" fontId="6" fillId="14" borderId="1" xfId="3" applyFont="1" applyFill="1" applyBorder="1" applyAlignment="1">
      <alignment horizontal="center" vertical="center" wrapText="1"/>
    </xf>
    <xf numFmtId="43" fontId="6" fillId="14" borderId="1" xfId="1" applyFont="1" applyFill="1" applyBorder="1" applyAlignment="1">
      <alignment horizontal="center" vertical="center" wrapText="1"/>
    </xf>
    <xf numFmtId="0" fontId="6" fillId="14" borderId="5" xfId="3" applyFont="1" applyFill="1" applyBorder="1" applyAlignment="1">
      <alignment horizontal="center" vertical="center" wrapText="1"/>
    </xf>
    <xf numFmtId="43" fontId="6" fillId="14" borderId="6" xfId="1" applyFont="1" applyFill="1" applyBorder="1" applyAlignment="1">
      <alignment horizontal="center" vertical="center" wrapText="1"/>
    </xf>
    <xf numFmtId="0" fontId="6" fillId="14" borderId="6" xfId="3" applyFont="1" applyFill="1" applyBorder="1" applyAlignment="1">
      <alignment horizontal="center" vertical="center" wrapText="1"/>
    </xf>
    <xf numFmtId="43" fontId="6" fillId="14" borderId="7" xfId="1" applyFont="1" applyFill="1" applyBorder="1" applyAlignment="1">
      <alignment horizontal="center" vertical="center" wrapText="1"/>
    </xf>
    <xf numFmtId="0" fontId="6" fillId="15" borderId="5" xfId="3" applyFont="1" applyFill="1" applyBorder="1" applyAlignment="1">
      <alignment horizontal="center" vertical="center" wrapText="1"/>
    </xf>
    <xf numFmtId="0" fontId="6" fillId="15" borderId="7" xfId="3" applyFont="1" applyFill="1" applyBorder="1" applyAlignment="1">
      <alignment horizontal="center" vertical="center" wrapText="1"/>
    </xf>
    <xf numFmtId="0" fontId="6" fillId="15" borderId="1" xfId="3"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xf>
    <xf numFmtId="0" fontId="2" fillId="0" borderId="0" xfId="0" applyFont="1" applyAlignment="1">
      <alignment horizontal="center" vertical="center"/>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3" borderId="1" xfId="3" applyFont="1" applyFill="1" applyBorder="1" applyAlignment="1">
      <alignment horizontal="center" vertical="center" textRotation="90" wrapText="1"/>
    </xf>
    <xf numFmtId="165" fontId="6" fillId="5" borderId="1" xfId="4"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10" borderId="8" xfId="3" applyFont="1" applyFill="1" applyBorder="1" applyAlignment="1">
      <alignment horizontal="center" vertical="center" wrapText="1"/>
    </xf>
    <xf numFmtId="0" fontId="6" fillId="10" borderId="12" xfId="3" applyFont="1" applyFill="1" applyBorder="1" applyAlignment="1">
      <alignment horizontal="center" vertical="center" wrapText="1"/>
    </xf>
    <xf numFmtId="0" fontId="6" fillId="10" borderId="10" xfId="3" applyFont="1" applyFill="1" applyBorder="1" applyAlignment="1">
      <alignment horizontal="center" vertical="center" wrapText="1"/>
    </xf>
    <xf numFmtId="43" fontId="6" fillId="3" borderId="1" xfId="1" applyFont="1" applyFill="1" applyBorder="1" applyAlignment="1">
      <alignment horizontal="center" vertical="center" wrapText="1"/>
    </xf>
    <xf numFmtId="0" fontId="6" fillId="3" borderId="1" xfId="3" applyFont="1" applyFill="1" applyBorder="1" applyAlignment="1">
      <alignment horizontal="center" vertical="center" wrapText="1"/>
    </xf>
    <xf numFmtId="43" fontId="6" fillId="15" borderId="6" xfId="1" applyFont="1" applyFill="1" applyBorder="1" applyAlignment="1">
      <alignment horizontal="center" vertical="center" wrapText="1"/>
    </xf>
    <xf numFmtId="43" fontId="6" fillId="15" borderId="1" xfId="1" applyFont="1" applyFill="1" applyBorder="1" applyAlignment="1">
      <alignment horizontal="center" vertical="center" wrapText="1"/>
    </xf>
    <xf numFmtId="43" fontId="6" fillId="15" borderId="7" xfId="1" applyFont="1" applyFill="1" applyBorder="1" applyAlignment="1">
      <alignment horizontal="center" vertical="center" wrapText="1"/>
    </xf>
    <xf numFmtId="43" fontId="4" fillId="14" borderId="1" xfId="1" applyFont="1" applyFill="1" applyBorder="1" applyAlignment="1">
      <alignment horizontal="center" vertical="center" wrapText="1"/>
    </xf>
    <xf numFmtId="0" fontId="4" fillId="14"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18" borderId="3" xfId="3" applyFont="1" applyFill="1" applyBorder="1" applyAlignment="1">
      <alignment horizontal="center" vertical="center" wrapText="1"/>
    </xf>
    <xf numFmtId="0" fontId="6" fillId="18" borderId="4" xfId="3" applyFont="1" applyFill="1" applyBorder="1" applyAlignment="1">
      <alignment horizontal="center" vertical="center" wrapText="1"/>
    </xf>
    <xf numFmtId="14" fontId="6" fillId="2" borderId="2" xfId="3" applyNumberFormat="1" applyFont="1" applyFill="1" applyBorder="1" applyAlignment="1">
      <alignment horizontal="center" vertical="center" wrapText="1"/>
    </xf>
    <xf numFmtId="14" fontId="6" fillId="2" borderId="3" xfId="3" applyNumberFormat="1" applyFont="1" applyFill="1" applyBorder="1" applyAlignment="1">
      <alignment horizontal="center" vertical="center" wrapText="1"/>
    </xf>
    <xf numFmtId="14" fontId="6" fillId="18" borderId="3" xfId="3" applyNumberFormat="1" applyFont="1" applyFill="1" applyBorder="1" applyAlignment="1">
      <alignment horizontal="center" vertical="center" wrapText="1"/>
    </xf>
    <xf numFmtId="14" fontId="6" fillId="18" borderId="4" xfId="3" applyNumberFormat="1" applyFont="1" applyFill="1" applyBorder="1" applyAlignment="1">
      <alignment horizontal="center" vertical="center" wrapText="1"/>
    </xf>
    <xf numFmtId="43" fontId="6" fillId="3" borderId="2" xfId="1" applyFont="1" applyFill="1" applyBorder="1" applyAlignment="1">
      <alignment horizontal="center" vertical="center" wrapText="1"/>
    </xf>
    <xf numFmtId="43" fontId="6" fillId="3" borderId="3" xfId="1" applyFont="1" applyFill="1" applyBorder="1" applyAlignment="1">
      <alignment horizontal="center" vertical="center" wrapText="1"/>
    </xf>
    <xf numFmtId="43" fontId="6" fillId="6" borderId="3" xfId="1" applyFont="1" applyFill="1" applyBorder="1" applyAlignment="1">
      <alignment horizontal="center" vertical="center" wrapText="1"/>
    </xf>
    <xf numFmtId="43" fontId="6" fillId="6" borderId="2" xfId="1" applyFont="1" applyFill="1" applyBorder="1" applyAlignment="1">
      <alignment horizontal="center" vertical="center" wrapText="1"/>
    </xf>
    <xf numFmtId="43" fontId="6" fillId="6" borderId="4" xfId="1" applyFont="1" applyFill="1" applyBorder="1" applyAlignment="1">
      <alignment horizontal="center" vertical="center" wrapText="1"/>
    </xf>
    <xf numFmtId="43" fontId="6" fillId="6" borderId="8" xfId="1" applyFont="1" applyFill="1" applyBorder="1" applyAlignment="1">
      <alignment horizontal="center" vertical="center" wrapText="1"/>
    </xf>
    <xf numFmtId="43" fontId="6" fillId="6" borderId="9" xfId="1" applyFont="1" applyFill="1" applyBorder="1" applyAlignment="1">
      <alignment horizontal="center" vertical="center" wrapText="1"/>
    </xf>
    <xf numFmtId="43" fontId="6" fillId="6" borderId="12" xfId="1" applyFont="1" applyFill="1" applyBorder="1" applyAlignment="1">
      <alignment horizontal="center" vertical="center" wrapText="1"/>
    </xf>
    <xf numFmtId="43" fontId="6" fillId="6" borderId="13" xfId="1" applyFont="1" applyFill="1" applyBorder="1" applyAlignment="1">
      <alignment horizontal="center" vertical="center" wrapText="1"/>
    </xf>
    <xf numFmtId="43" fontId="6" fillId="6" borderId="10" xfId="1" applyFont="1" applyFill="1" applyBorder="1" applyAlignment="1">
      <alignment horizontal="center" vertical="center" wrapText="1"/>
    </xf>
    <xf numFmtId="43" fontId="6" fillId="6" borderId="11" xfId="1" applyFont="1" applyFill="1" applyBorder="1" applyAlignment="1">
      <alignment horizontal="center" vertical="center" wrapText="1"/>
    </xf>
    <xf numFmtId="0" fontId="70" fillId="0" borderId="0" xfId="0" applyFont="1" applyAlignment="1">
      <alignment horizontal="center" vertical="center"/>
    </xf>
    <xf numFmtId="43" fontId="72" fillId="17" borderId="27" xfId="1" applyFont="1" applyFill="1" applyBorder="1" applyAlignment="1">
      <alignment horizontal="center" vertical="center" wrapText="1"/>
    </xf>
    <xf numFmtId="43" fontId="72" fillId="17" borderId="51" xfId="1" applyFont="1" applyFill="1" applyBorder="1" applyAlignment="1">
      <alignment horizontal="center" vertical="center" wrapText="1"/>
    </xf>
    <xf numFmtId="43" fontId="72" fillId="17" borderId="52" xfId="1" applyFont="1" applyFill="1" applyBorder="1" applyAlignment="1">
      <alignment horizontal="center" vertical="center" wrapText="1"/>
    </xf>
    <xf numFmtId="43" fontId="72" fillId="17" borderId="49" xfId="1" applyFont="1" applyFill="1" applyBorder="1" applyAlignment="1">
      <alignment horizontal="center" vertical="center" wrapText="1"/>
    </xf>
    <xf numFmtId="0" fontId="70" fillId="0" borderId="72" xfId="0" applyFont="1" applyBorder="1" applyAlignment="1">
      <alignment horizontal="left" vertical="center"/>
    </xf>
    <xf numFmtId="43" fontId="72" fillId="17" borderId="70" xfId="1" applyFont="1" applyFill="1" applyBorder="1" applyAlignment="1">
      <alignment horizontal="center" vertical="center" wrapText="1"/>
    </xf>
    <xf numFmtId="43" fontId="72" fillId="17" borderId="71" xfId="1" applyFont="1" applyFill="1" applyBorder="1" applyAlignment="1">
      <alignment horizontal="center" vertical="center" wrapText="1"/>
    </xf>
    <xf numFmtId="43" fontId="72" fillId="17" borderId="50" xfId="1" applyFont="1" applyFill="1" applyBorder="1" applyAlignment="1">
      <alignment horizontal="center" vertical="center" wrapText="1"/>
    </xf>
    <xf numFmtId="43" fontId="72" fillId="17" borderId="72" xfId="1" applyFont="1" applyFill="1" applyBorder="1" applyAlignment="1">
      <alignment horizontal="center" vertical="center" wrapText="1"/>
    </xf>
    <xf numFmtId="43" fontId="72" fillId="17" borderId="73" xfId="1" applyFont="1" applyFill="1" applyBorder="1" applyAlignment="1">
      <alignment horizontal="center" vertical="center" wrapText="1"/>
    </xf>
    <xf numFmtId="43" fontId="72" fillId="17" borderId="42" xfId="1" applyFont="1" applyFill="1" applyBorder="1" applyAlignment="1">
      <alignment horizontal="center" vertical="center" wrapText="1"/>
    </xf>
    <xf numFmtId="43" fontId="72" fillId="17" borderId="65" xfId="1" applyFont="1" applyFill="1" applyBorder="1" applyAlignment="1">
      <alignment horizontal="center" vertical="center" wrapText="1"/>
    </xf>
    <xf numFmtId="0" fontId="70" fillId="0" borderId="0" xfId="0" applyFont="1" applyAlignment="1">
      <alignment horizontal="left" vertical="center"/>
    </xf>
    <xf numFmtId="0" fontId="50" fillId="2" borderId="30" xfId="0" applyFont="1" applyFill="1" applyBorder="1" applyAlignment="1">
      <alignment horizontal="center" vertical="center" wrapText="1"/>
    </xf>
    <xf numFmtId="0" fontId="50" fillId="2" borderId="35" xfId="0" applyFont="1" applyFill="1" applyBorder="1" applyAlignment="1">
      <alignment horizontal="center" vertical="center" wrapText="1"/>
    </xf>
    <xf numFmtId="0" fontId="50" fillId="2" borderId="37" xfId="0" applyFont="1" applyFill="1" applyBorder="1" applyAlignment="1">
      <alignment horizontal="center" vertical="center" wrapText="1"/>
    </xf>
    <xf numFmtId="0" fontId="50" fillId="2" borderId="38" xfId="0" applyFont="1" applyFill="1" applyBorder="1" applyAlignment="1">
      <alignment horizontal="center" vertical="center" wrapText="1"/>
    </xf>
    <xf numFmtId="0" fontId="48" fillId="0" borderId="32" xfId="0" applyFont="1" applyBorder="1" applyAlignment="1">
      <alignment horizontal="left" vertical="center" wrapText="1"/>
    </xf>
    <xf numFmtId="0" fontId="48" fillId="0" borderId="0" xfId="0" applyFont="1" applyAlignment="1">
      <alignment horizontal="left" vertical="center" wrapText="1"/>
    </xf>
    <xf numFmtId="43" fontId="38" fillId="17" borderId="40" xfId="1" applyFont="1" applyFill="1" applyBorder="1" applyAlignment="1">
      <alignment horizontal="center" vertical="center" wrapText="1"/>
    </xf>
    <xf numFmtId="43" fontId="38" fillId="17" borderId="41" xfId="1" applyFont="1" applyFill="1" applyBorder="1" applyAlignment="1">
      <alignment horizontal="center" vertical="center" wrapText="1"/>
    </xf>
    <xf numFmtId="0" fontId="45" fillId="17" borderId="45" xfId="0" applyFont="1" applyFill="1" applyBorder="1" applyAlignment="1">
      <alignment horizontal="center" vertical="center"/>
    </xf>
    <xf numFmtId="0" fontId="45" fillId="17" borderId="46" xfId="0" applyFont="1" applyFill="1" applyBorder="1" applyAlignment="1">
      <alignment horizontal="center" vertical="center"/>
    </xf>
    <xf numFmtId="0" fontId="38" fillId="17" borderId="0" xfId="0" applyFont="1" applyFill="1" applyAlignment="1">
      <alignment horizontal="center"/>
    </xf>
    <xf numFmtId="0" fontId="47" fillId="2" borderId="0" xfId="0" applyFont="1" applyFill="1" applyAlignment="1">
      <alignment horizontal="left"/>
    </xf>
    <xf numFmtId="0" fontId="35" fillId="0" borderId="0" xfId="0" applyFont="1" applyAlignment="1">
      <alignment horizontal="center" vertical="center"/>
    </xf>
    <xf numFmtId="0" fontId="34" fillId="0" borderId="0" xfId="0" applyFont="1" applyAlignment="1">
      <alignment horizontal="center" vertical="center"/>
    </xf>
    <xf numFmtId="0" fontId="37" fillId="0" borderId="0" xfId="0" applyFont="1" applyAlignment="1">
      <alignment horizontal="center" vertical="center"/>
    </xf>
    <xf numFmtId="43" fontId="38" fillId="17" borderId="27" xfId="1" applyFont="1" applyFill="1" applyBorder="1" applyAlignment="1">
      <alignment horizontal="center" vertical="center" wrapText="1"/>
    </xf>
    <xf numFmtId="43" fontId="38" fillId="17" borderId="51" xfId="1" applyFont="1" applyFill="1" applyBorder="1" applyAlignment="1">
      <alignment horizontal="center" vertical="center" wrapText="1"/>
    </xf>
    <xf numFmtId="43" fontId="38" fillId="17" borderId="42" xfId="1" applyFont="1" applyFill="1" applyBorder="1" applyAlignment="1">
      <alignment horizontal="center" vertical="center" wrapText="1"/>
    </xf>
    <xf numFmtId="43" fontId="38" fillId="17" borderId="52" xfId="1" applyFont="1" applyFill="1" applyBorder="1" applyAlignment="1">
      <alignment horizontal="center" vertical="center" wrapText="1"/>
    </xf>
    <xf numFmtId="43" fontId="38" fillId="17" borderId="49" xfId="1" applyFont="1" applyFill="1" applyBorder="1" applyAlignment="1">
      <alignment horizontal="center" vertical="center" wrapText="1"/>
    </xf>
    <xf numFmtId="43" fontId="38" fillId="17" borderId="50" xfId="1" applyFont="1" applyFill="1" applyBorder="1" applyAlignment="1">
      <alignment horizontal="center" vertical="center" wrapText="1"/>
    </xf>
    <xf numFmtId="43" fontId="38" fillId="17" borderId="48" xfId="1" applyFont="1" applyFill="1" applyBorder="1" applyAlignment="1">
      <alignment horizontal="center" vertical="center" wrapText="1"/>
    </xf>
    <xf numFmtId="43" fontId="67" fillId="0" borderId="1" xfId="1" applyFont="1" applyBorder="1" applyAlignment="1">
      <alignment vertical="center"/>
    </xf>
    <xf numFmtId="0" fontId="66" fillId="24" borderId="1" xfId="0" applyFont="1" applyFill="1" applyBorder="1" applyAlignment="1">
      <alignment horizontal="center" vertical="center"/>
    </xf>
    <xf numFmtId="43" fontId="66" fillId="24" borderId="1" xfId="1" applyFont="1" applyFill="1" applyBorder="1" applyAlignment="1">
      <alignment horizontal="center" vertical="center"/>
    </xf>
    <xf numFmtId="43" fontId="66" fillId="24" borderId="1" xfId="1" applyFont="1" applyFill="1" applyBorder="1" applyAlignment="1">
      <alignment horizontal="center" vertical="center" wrapText="1"/>
    </xf>
    <xf numFmtId="43" fontId="66" fillId="26" borderId="1" xfId="1" applyFont="1" applyFill="1" applyBorder="1" applyAlignment="1">
      <alignment vertical="center" wrapText="1"/>
    </xf>
    <xf numFmtId="0" fontId="32" fillId="19" borderId="1" xfId="0" applyFont="1" applyFill="1" applyBorder="1" applyAlignment="1">
      <alignment vertical="center" wrapText="1"/>
    </xf>
    <xf numFmtId="0" fontId="32" fillId="0" borderId="0" xfId="0" applyFont="1" applyAlignment="1">
      <alignment horizontal="center"/>
    </xf>
    <xf numFmtId="0" fontId="62" fillId="0" borderId="0" xfId="0" applyFont="1" applyAlignment="1">
      <alignment horizontal="center"/>
    </xf>
    <xf numFmtId="0" fontId="32" fillId="0" borderId="12" xfId="0" applyFont="1" applyBorder="1" applyAlignment="1">
      <alignment horizontal="center"/>
    </xf>
    <xf numFmtId="0" fontId="32" fillId="0" borderId="1" xfId="0" applyFont="1" applyBorder="1" applyAlignment="1">
      <alignment horizontal="left"/>
    </xf>
    <xf numFmtId="0" fontId="32" fillId="19" borderId="1" xfId="0" applyFont="1" applyFill="1" applyBorder="1" applyAlignment="1">
      <alignment horizontal="center"/>
    </xf>
    <xf numFmtId="0" fontId="32" fillId="5" borderId="1" xfId="0" applyFont="1" applyFill="1" applyBorder="1" applyAlignment="1">
      <alignment horizontal="center"/>
    </xf>
    <xf numFmtId="0" fontId="29" fillId="0" borderId="0" xfId="0" applyFont="1" applyAlignment="1">
      <alignment horizontal="left" vertical="center" wrapText="1"/>
    </xf>
    <xf numFmtId="0" fontId="32" fillId="0" borderId="1" xfId="0" applyFont="1" applyBorder="1" applyAlignment="1">
      <alignment horizontal="center" vertical="center"/>
    </xf>
    <xf numFmtId="0" fontId="32" fillId="5" borderId="1" xfId="0" applyFont="1" applyFill="1" applyBorder="1" applyAlignment="1">
      <alignment vertical="center" wrapText="1"/>
    </xf>
    <xf numFmtId="0" fontId="32" fillId="0" borderId="1" xfId="0" applyFont="1" applyBorder="1" applyAlignment="1">
      <alignment horizontal="center"/>
    </xf>
    <xf numFmtId="0" fontId="32" fillId="19" borderId="5" xfId="0" applyFont="1" applyFill="1" applyBorder="1" applyAlignment="1">
      <alignment horizontal="center"/>
    </xf>
    <xf numFmtId="0" fontId="32" fillId="19" borderId="6" xfId="0" applyFont="1" applyFill="1" applyBorder="1" applyAlignment="1">
      <alignment horizontal="center"/>
    </xf>
    <xf numFmtId="0" fontId="32" fillId="19" borderId="7" xfId="0" applyFont="1" applyFill="1" applyBorder="1" applyAlignment="1">
      <alignment horizontal="center"/>
    </xf>
    <xf numFmtId="0" fontId="32" fillId="0" borderId="5" xfId="0" applyFont="1" applyBorder="1" applyAlignment="1">
      <alignment horizontal="center"/>
    </xf>
    <xf numFmtId="0" fontId="32" fillId="0" borderId="6" xfId="0" applyFont="1" applyBorder="1" applyAlignment="1">
      <alignment horizontal="center"/>
    </xf>
    <xf numFmtId="0" fontId="32" fillId="0" borderId="7" xfId="0" applyFont="1" applyBorder="1" applyAlignment="1">
      <alignment horizontal="center"/>
    </xf>
    <xf numFmtId="0" fontId="61" fillId="23" borderId="45" xfId="0" applyFont="1" applyFill="1" applyBorder="1" applyAlignment="1">
      <alignment horizontal="center" vertical="center"/>
    </xf>
    <xf numFmtId="0" fontId="61" fillId="23" borderId="44" xfId="0" applyFont="1" applyFill="1" applyBorder="1" applyAlignment="1">
      <alignment horizontal="center" vertical="center"/>
    </xf>
    <xf numFmtId="0" fontId="54" fillId="22" borderId="45" xfId="0" applyFont="1" applyFill="1" applyBorder="1" applyAlignment="1">
      <alignment horizontal="center" vertical="center" wrapText="1"/>
    </xf>
    <xf numFmtId="0" fontId="54" fillId="22" borderId="44" xfId="0" applyFont="1" applyFill="1" applyBorder="1" applyAlignment="1">
      <alignment horizontal="center" vertical="center" wrapText="1"/>
    </xf>
    <xf numFmtId="0" fontId="59" fillId="24" borderId="45" xfId="0" applyFont="1" applyFill="1" applyBorder="1" applyAlignment="1">
      <alignment horizontal="center" vertical="center" wrapText="1"/>
    </xf>
    <xf numFmtId="0" fontId="59" fillId="24" borderId="46" xfId="0" applyFont="1" applyFill="1" applyBorder="1" applyAlignment="1">
      <alignment horizontal="center" vertical="center" wrapText="1"/>
    </xf>
    <xf numFmtId="0" fontId="59" fillId="24" borderId="44" xfId="0" applyFont="1" applyFill="1" applyBorder="1" applyAlignment="1">
      <alignment horizontal="center" vertical="center" wrapText="1"/>
    </xf>
    <xf numFmtId="43" fontId="6" fillId="14" borderId="9" xfId="1" applyFont="1" applyFill="1" applyBorder="1" applyAlignment="1">
      <alignment horizontal="center" vertical="center" wrapText="1"/>
    </xf>
    <xf numFmtId="43" fontId="6" fillId="14" borderId="3" xfId="1" applyFont="1" applyFill="1" applyBorder="1" applyAlignment="1">
      <alignment horizontal="center" vertical="center" wrapText="1"/>
    </xf>
    <xf numFmtId="43" fontId="6" fillId="14" borderId="4" xfId="1" applyFont="1" applyFill="1" applyBorder="1" applyAlignment="1">
      <alignment horizontal="center" vertical="center" wrapText="1"/>
    </xf>
    <xf numFmtId="43" fontId="7" fillId="2" borderId="7" xfId="1" applyFont="1" applyFill="1" applyBorder="1" applyAlignment="1">
      <alignment vertical="center"/>
    </xf>
    <xf numFmtId="43" fontId="21" fillId="0" borderId="1" xfId="1" applyFont="1" applyBorder="1"/>
    <xf numFmtId="0" fontId="81" fillId="0" borderId="0" xfId="0" applyFont="1" applyAlignment="1">
      <alignment vertical="center"/>
    </xf>
    <xf numFmtId="43" fontId="21" fillId="0" borderId="0" xfId="1" applyFont="1" applyAlignment="1">
      <alignment vertical="center"/>
    </xf>
    <xf numFmtId="43" fontId="81" fillId="0" borderId="0" xfId="1" applyFont="1" applyAlignment="1">
      <alignment vertical="center"/>
    </xf>
    <xf numFmtId="9" fontId="21" fillId="0" borderId="0" xfId="2" applyFont="1" applyAlignment="1">
      <alignment vertical="center"/>
    </xf>
    <xf numFmtId="9" fontId="81" fillId="0" borderId="0" xfId="2" applyFont="1" applyAlignment="1">
      <alignment vertical="center"/>
    </xf>
    <xf numFmtId="43" fontId="42" fillId="0" borderId="0" xfId="1" applyFont="1" applyAlignment="1">
      <alignment vertical="center"/>
    </xf>
    <xf numFmtId="43" fontId="75" fillId="19" borderId="1" xfId="1" applyFont="1" applyFill="1" applyBorder="1" applyAlignment="1">
      <alignment horizontal="left" vertical="center"/>
    </xf>
    <xf numFmtId="43" fontId="73" fillId="0" borderId="0" xfId="1" applyFont="1" applyAlignment="1">
      <alignment vertical="center" wrapText="1"/>
    </xf>
    <xf numFmtId="43" fontId="73" fillId="0" borderId="0" xfId="1" applyFont="1" applyAlignment="1">
      <alignment wrapText="1"/>
    </xf>
    <xf numFmtId="0" fontId="73" fillId="0" borderId="1" xfId="0" applyFont="1" applyBorder="1" applyAlignment="1">
      <alignment vertical="center"/>
    </xf>
    <xf numFmtId="0" fontId="73" fillId="0" borderId="6" xfId="0" applyFont="1" applyBorder="1" applyAlignment="1">
      <alignment horizontal="left" wrapText="1"/>
    </xf>
    <xf numFmtId="43" fontId="73" fillId="0" borderId="1" xfId="1" applyFont="1" applyBorder="1" applyAlignment="1">
      <alignment wrapText="1"/>
    </xf>
    <xf numFmtId="43" fontId="70" fillId="0" borderId="5" xfId="1" applyFont="1" applyBorder="1" applyAlignment="1">
      <alignment horizontal="right" vertical="center" wrapText="1"/>
    </xf>
    <xf numFmtId="43" fontId="71" fillId="19" borderId="1" xfId="0" applyNumberFormat="1" applyFont="1" applyFill="1" applyBorder="1" applyAlignment="1">
      <alignment horizontal="left" vertical="center"/>
    </xf>
    <xf numFmtId="0" fontId="70" fillId="0" borderId="46" xfId="0" applyFont="1" applyBorder="1" applyAlignment="1">
      <alignment horizontal="right" vertical="center" wrapText="1"/>
    </xf>
    <xf numFmtId="43" fontId="70" fillId="0" borderId="46" xfId="1" applyFont="1" applyBorder="1" applyAlignment="1">
      <alignment horizontal="right" vertical="center" wrapText="1"/>
    </xf>
    <xf numFmtId="43" fontId="70" fillId="0" borderId="74" xfId="1" applyFont="1" applyBorder="1" applyAlignment="1">
      <alignment vertical="center"/>
    </xf>
    <xf numFmtId="9" fontId="70" fillId="0" borderId="58" xfId="1" applyNumberFormat="1" applyFont="1" applyBorder="1" applyAlignment="1">
      <alignment horizontal="center" vertical="center"/>
    </xf>
    <xf numFmtId="10" fontId="70" fillId="0" borderId="57" xfId="2" applyNumberFormat="1" applyFont="1" applyBorder="1" applyAlignment="1">
      <alignment horizontal="center" vertical="center"/>
    </xf>
    <xf numFmtId="43" fontId="41" fillId="0" borderId="0" xfId="1" applyFont="1" applyAlignment="1">
      <alignment vertical="center"/>
    </xf>
    <xf numFmtId="43" fontId="36" fillId="0" borderId="0" xfId="1" applyFont="1" applyAlignment="1">
      <alignment vertical="center"/>
    </xf>
    <xf numFmtId="43" fontId="43" fillId="0" borderId="0" xfId="1" applyFont="1" applyAlignment="1">
      <alignment vertical="center"/>
    </xf>
    <xf numFmtId="43" fontId="44" fillId="0" borderId="0" xfId="1" applyFont="1" applyAlignment="1">
      <alignment vertical="center"/>
    </xf>
    <xf numFmtId="43" fontId="37" fillId="0" borderId="0" xfId="1" applyFont="1" applyAlignment="1">
      <alignment vertical="center"/>
    </xf>
  </cellXfs>
  <cellStyles count="10">
    <cellStyle name="Hipervínculo" xfId="9" builtinId="8"/>
    <cellStyle name="Millares" xfId="1" builtinId="3"/>
    <cellStyle name="Millares 2" xfId="8"/>
    <cellStyle name="Millares 3" xfId="7"/>
    <cellStyle name="Millares 4" xfId="6"/>
    <cellStyle name="Moneda 2" xfId="4"/>
    <cellStyle name="Moneda 3" xfId="5"/>
    <cellStyle name="Normal" xfId="0" builtinId="0"/>
    <cellStyle name="Normal 2" xfId="3"/>
    <cellStyle name="Porcentaje" xfId="2" builtinId="5"/>
  </cellStyles>
  <dxfs count="8">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CC"/>
      <color rgb="FF666699"/>
      <color rgb="FF0000CC"/>
      <color rgb="FF99CC00"/>
      <color rgb="FF99FF99"/>
      <color rgb="FF3399FF"/>
      <color rgb="FFFF99CC"/>
      <color rgb="FF9E2289"/>
      <color rgb="FF944FEF"/>
      <color rgb="FFC6A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0906876619083554E-3"/>
          <c:y val="0.22236824387772097"/>
          <c:w val="0.97771498163400228"/>
          <c:h val="0.58707393863369794"/>
        </c:manualLayout>
      </c:layout>
      <c:pie3DChart>
        <c:varyColors val="1"/>
        <c:ser>
          <c:idx val="0"/>
          <c:order val="0"/>
          <c:tx>
            <c:strRef>
              <c:f>RESU!$J$49</c:f>
              <c:strCache>
                <c:ptCount val="1"/>
                <c:pt idx="0">
                  <c:v>CODIFICADO 2025</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294-4541-A916-2CDEB6A312C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A294-4541-A916-2CDEB6A312C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BC01-4AEC-9B5F-B88CB874B5D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15:layout/>
              </c:ext>
            </c:extLst>
          </c:dLbls>
          <c:cat>
            <c:multiLvlStrRef>
              <c:f>RESU!$F$50:$I$52</c:f>
              <c:multiLvlStrCache>
                <c:ptCount val="2"/>
                <c:lvl>
                  <c:pt idx="0">
                    <c:v>INGRESOS CORRIENTES</c:v>
                  </c:pt>
                  <c:pt idx="1">
                    <c:v>INGRESOS DE FINANCIAMIENTO</c:v>
                  </c:pt>
                </c:lvl>
                <c:lvl>
                  <c:pt idx="0">
                    <c:v>1</c:v>
                  </c:pt>
                  <c:pt idx="1">
                    <c:v>3</c:v>
                  </c:pt>
                </c:lvl>
              </c:multiLvlStrCache>
            </c:multiLvlStrRef>
          </c:cat>
          <c:val>
            <c:numRef>
              <c:f>RESU!$J$50:$J$52</c:f>
              <c:numCache>
                <c:formatCode>_(* #,##0.00_);_(* \(#,##0.00\);_(* "-"??_);_(@_)</c:formatCode>
                <c:ptCount val="3"/>
                <c:pt idx="0">
                  <c:v>1297713.47</c:v>
                </c:pt>
                <c:pt idx="1">
                  <c:v>964340.1</c:v>
                </c:pt>
                <c:pt idx="2">
                  <c:v>2262053.5699999998</c:v>
                </c:pt>
              </c:numCache>
            </c:numRef>
          </c:val>
          <c:extLst>
            <c:ext xmlns:c16="http://schemas.microsoft.com/office/drawing/2014/chart" uri="{C3380CC4-5D6E-409C-BE32-E72D297353CC}">
              <c16:uniqueId val="{00000000-0C38-4E21-89BF-A80FE3D1E21A}"/>
            </c:ext>
          </c:extLst>
        </c:ser>
        <c:ser>
          <c:idx val="1"/>
          <c:order val="1"/>
          <c:tx>
            <c:strRef>
              <c:f>RESU!$K$49</c:f>
              <c:strCache>
                <c:ptCount val="1"/>
                <c:pt idx="0">
                  <c:v>%</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A294-4541-A916-2CDEB6A312C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A294-4541-A916-2CDEB6A312C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BC01-4AEC-9B5F-B88CB874B5D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multiLvlStrRef>
              <c:f>RESU!$F$50:$I$52</c:f>
              <c:multiLvlStrCache>
                <c:ptCount val="2"/>
                <c:lvl>
                  <c:pt idx="0">
                    <c:v>INGRESOS CORRIENTES</c:v>
                  </c:pt>
                  <c:pt idx="1">
                    <c:v>INGRESOS DE FINANCIAMIENTO</c:v>
                  </c:pt>
                </c:lvl>
                <c:lvl>
                  <c:pt idx="0">
                    <c:v>1</c:v>
                  </c:pt>
                  <c:pt idx="1">
                    <c:v>3</c:v>
                  </c:pt>
                </c:lvl>
              </c:multiLvlStrCache>
            </c:multiLvlStrRef>
          </c:cat>
          <c:val>
            <c:numRef>
              <c:f>RESU!$K$50:$K$52</c:f>
              <c:numCache>
                <c:formatCode>0.00%</c:formatCode>
                <c:ptCount val="3"/>
                <c:pt idx="0">
                  <c:v>0.57368821287464034</c:v>
                </c:pt>
                <c:pt idx="1">
                  <c:v>0.42631178712535972</c:v>
                </c:pt>
                <c:pt idx="2">
                  <c:v>1</c:v>
                </c:pt>
              </c:numCache>
            </c:numRef>
          </c:val>
          <c:extLst>
            <c:ext xmlns:c16="http://schemas.microsoft.com/office/drawing/2014/chart" uri="{C3380CC4-5D6E-409C-BE32-E72D297353CC}">
              <c16:uniqueId val="{00000001-0C38-4E21-89BF-A80FE3D1E21A}"/>
            </c:ext>
          </c:extLst>
        </c:ser>
        <c:ser>
          <c:idx val="2"/>
          <c:order val="2"/>
          <c:tx>
            <c:strRef>
              <c:f>RESU!$L$49</c:f>
              <c:strCache>
                <c:ptCount val="1"/>
                <c:pt idx="0">
                  <c:v>RECAUDACIÓN</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BC01-4AEC-9B5F-B88CB874B5D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F-BC01-4AEC-9B5F-B88CB874B5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1-BC01-4AEC-9B5F-B88CB874B5D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multiLvlStrRef>
              <c:f>RESU!$F$50:$I$52</c:f>
              <c:multiLvlStrCache>
                <c:ptCount val="2"/>
                <c:lvl>
                  <c:pt idx="0">
                    <c:v>INGRESOS CORRIENTES</c:v>
                  </c:pt>
                  <c:pt idx="1">
                    <c:v>INGRESOS DE FINANCIAMIENTO</c:v>
                  </c:pt>
                </c:lvl>
                <c:lvl>
                  <c:pt idx="0">
                    <c:v>1</c:v>
                  </c:pt>
                  <c:pt idx="1">
                    <c:v>3</c:v>
                  </c:pt>
                </c:lvl>
              </c:multiLvlStrCache>
            </c:multiLvlStrRef>
          </c:cat>
          <c:val>
            <c:numRef>
              <c:f>RESU!$L$50:$L$52</c:f>
              <c:numCache>
                <c:formatCode>_(* #,##0.00_);_(* \(#,##0.00\);_(* "-"??_);_(@_)</c:formatCode>
                <c:ptCount val="3"/>
                <c:pt idx="0">
                  <c:v>1051327.8600000001</c:v>
                </c:pt>
                <c:pt idx="1">
                  <c:v>0</c:v>
                </c:pt>
                <c:pt idx="2">
                  <c:v>1051327.8600000001</c:v>
                </c:pt>
              </c:numCache>
            </c:numRef>
          </c:val>
          <c:extLst>
            <c:ext xmlns:c16="http://schemas.microsoft.com/office/drawing/2014/chart" uri="{C3380CC4-5D6E-409C-BE32-E72D297353CC}">
              <c16:uniqueId val="{00000008-08F6-4796-899C-97B6B0019D4E}"/>
            </c:ext>
          </c:extLst>
        </c:ser>
        <c:ser>
          <c:idx val="3"/>
          <c:order val="3"/>
          <c:tx>
            <c:strRef>
              <c:f>RESU!$M$49</c:f>
              <c:strCache>
                <c:ptCount val="1"/>
                <c:pt idx="0">
                  <c:v>%</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3-BC01-4AEC-9B5F-B88CB874B5D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5-BC01-4AEC-9B5F-B88CB874B5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7-BC01-4AEC-9B5F-B88CB874B5D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multiLvlStrRef>
              <c:f>RESU!$F$50:$I$52</c:f>
              <c:multiLvlStrCache>
                <c:ptCount val="2"/>
                <c:lvl>
                  <c:pt idx="0">
                    <c:v>INGRESOS CORRIENTES</c:v>
                  </c:pt>
                  <c:pt idx="1">
                    <c:v>INGRESOS DE FINANCIAMIENTO</c:v>
                  </c:pt>
                </c:lvl>
                <c:lvl>
                  <c:pt idx="0">
                    <c:v>1</c:v>
                  </c:pt>
                  <c:pt idx="1">
                    <c:v>3</c:v>
                  </c:pt>
                </c:lvl>
              </c:multiLvlStrCache>
            </c:multiLvlStrRef>
          </c:cat>
          <c:val>
            <c:numRef>
              <c:f>RESU!$M$50:$M$52</c:f>
              <c:numCache>
                <c:formatCode>0.00%</c:formatCode>
                <c:ptCount val="3"/>
                <c:pt idx="0">
                  <c:v>0.81013866643458676</c:v>
                </c:pt>
                <c:pt idx="1">
                  <c:v>0</c:v>
                </c:pt>
              </c:numCache>
            </c:numRef>
          </c:val>
          <c:extLst>
            <c:ext xmlns:c16="http://schemas.microsoft.com/office/drawing/2014/chart" uri="{C3380CC4-5D6E-409C-BE32-E72D297353CC}">
              <c16:uniqueId val="{00000009-08F6-4796-899C-97B6B0019D4E}"/>
            </c:ext>
          </c:extLst>
        </c:ser>
        <c:dLbls>
          <c:dLblPos val="ctr"/>
          <c:showLegendKey val="0"/>
          <c:showVal val="0"/>
          <c:showCatName val="0"/>
          <c:showSerName val="0"/>
          <c:showPercent val="1"/>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n-US"/>
              <a:t>EJECUCIÓN PRESUPUESTARIA</a:t>
            </a:r>
            <a:r>
              <a:rPr lang="en-US" baseline="0"/>
              <a:t> POR PROGRAMAS</a:t>
            </a:r>
            <a:endParaRPr lang="en-US"/>
          </a:p>
        </c:rich>
      </c:tx>
      <c:layout/>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n-US"/>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RESU!$V$31</c:f>
              <c:strCache>
                <c:ptCount val="1"/>
                <c:pt idx="0">
                  <c:v>DEVENGADO</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cat>
            <c:strRef>
              <c:f>RESU!$U$32:$U$35</c:f>
              <c:strCache>
                <c:ptCount val="4"/>
                <c:pt idx="0">
                  <c:v>REMUNERACIONES DE PERSONAL </c:v>
                </c:pt>
                <c:pt idx="1">
                  <c:v>GASTOS ADMINISTRATIVOS</c:v>
                </c:pt>
                <c:pt idx="2">
                  <c:v>PREVENCION ANTE EVENTOS ADVERSOS</c:v>
                </c:pt>
                <c:pt idx="3">
                  <c:v>ATENCION DE EMERGENCIAS</c:v>
                </c:pt>
              </c:strCache>
            </c:strRef>
          </c:cat>
          <c:val>
            <c:numRef>
              <c:f>RESU!$V$32:$V$35</c:f>
              <c:numCache>
                <c:formatCode>_(* #,##0.00_);_(* \(#,##0.00\);_(* "-"??_);_(@_)</c:formatCode>
                <c:ptCount val="4"/>
                <c:pt idx="0">
                  <c:v>652205.82999999996</c:v>
                </c:pt>
                <c:pt idx="1">
                  <c:v>209061.74</c:v>
                </c:pt>
                <c:pt idx="2">
                  <c:v>0</c:v>
                </c:pt>
                <c:pt idx="3">
                  <c:v>344477.06</c:v>
                </c:pt>
              </c:numCache>
            </c:numRef>
          </c:val>
          <c:extLst>
            <c:ext xmlns:c16="http://schemas.microsoft.com/office/drawing/2014/chart" uri="{C3380CC4-5D6E-409C-BE32-E72D297353CC}">
              <c16:uniqueId val="{00000000-C40D-456B-821E-223DD97F2988}"/>
            </c:ext>
          </c:extLst>
        </c:ser>
        <c:ser>
          <c:idx val="1"/>
          <c:order val="1"/>
          <c:tx>
            <c:strRef>
              <c:f>RESU!$W$31</c:f>
              <c:strCache>
                <c:ptCount val="1"/>
                <c:pt idx="0">
                  <c:v>%</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cat>
            <c:strRef>
              <c:f>RESU!$U$32:$U$35</c:f>
              <c:strCache>
                <c:ptCount val="4"/>
                <c:pt idx="0">
                  <c:v>REMUNERACIONES DE PERSONAL </c:v>
                </c:pt>
                <c:pt idx="1">
                  <c:v>GASTOS ADMINISTRATIVOS</c:v>
                </c:pt>
                <c:pt idx="2">
                  <c:v>PREVENCION ANTE EVENTOS ADVERSOS</c:v>
                </c:pt>
                <c:pt idx="3">
                  <c:v>ATENCION DE EMERGENCIAS</c:v>
                </c:pt>
              </c:strCache>
            </c:strRef>
          </c:cat>
          <c:val>
            <c:numRef>
              <c:f>RESU!$W$32:$W$35</c:f>
              <c:numCache>
                <c:formatCode>0%</c:formatCode>
                <c:ptCount val="4"/>
                <c:pt idx="0">
                  <c:v>0.63730114076079902</c:v>
                </c:pt>
                <c:pt idx="1">
                  <c:v>0.57708819919846344</c:v>
                </c:pt>
                <c:pt idx="2">
                  <c:v>0</c:v>
                </c:pt>
                <c:pt idx="3">
                  <c:v>0.39696707559379879</c:v>
                </c:pt>
              </c:numCache>
            </c:numRef>
          </c:val>
          <c:extLst>
            <c:ext xmlns:c16="http://schemas.microsoft.com/office/drawing/2014/chart" uri="{C3380CC4-5D6E-409C-BE32-E72D297353CC}">
              <c16:uniqueId val="{00000001-C40D-456B-821E-223DD97F2988}"/>
            </c:ext>
          </c:extLst>
        </c:ser>
        <c:dLbls>
          <c:showLegendKey val="0"/>
          <c:showVal val="1"/>
          <c:showCatName val="0"/>
          <c:showSerName val="0"/>
          <c:showPercent val="0"/>
          <c:showBubbleSize val="0"/>
        </c:dLbls>
        <c:gapWidth val="84"/>
        <c:gapDepth val="53"/>
        <c:shape val="box"/>
        <c:axId val="1231638015"/>
        <c:axId val="1231635103"/>
        <c:axId val="1243270271"/>
      </c:bar3DChart>
      <c:catAx>
        <c:axId val="1231638015"/>
        <c:scaling>
          <c:orientation val="minMax"/>
        </c:scaling>
        <c:delete val="0"/>
        <c:axPos val="b"/>
        <c:title>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231635103"/>
        <c:crosses val="autoZero"/>
        <c:auto val="1"/>
        <c:lblAlgn val="ctr"/>
        <c:lblOffset val="100"/>
        <c:noMultiLvlLbl val="0"/>
      </c:catAx>
      <c:valAx>
        <c:axId val="1231635103"/>
        <c:scaling>
          <c:orientation val="minMax"/>
        </c:scaling>
        <c:delete val="1"/>
        <c:axPos val="l"/>
        <c:numFmt formatCode="_(* #,##0.00_);_(* \(#,##0.00\);_(* &quot;-&quot;??_);_(@_)" sourceLinked="1"/>
        <c:majorTickMark val="out"/>
        <c:minorTickMark val="none"/>
        <c:tickLblPos val="nextTo"/>
        <c:crossAx val="1231638015"/>
        <c:crosses val="autoZero"/>
        <c:crossBetween val="between"/>
      </c:valAx>
      <c:serAx>
        <c:axId val="1243270271"/>
        <c:scaling>
          <c:orientation val="minMax"/>
        </c:scaling>
        <c:delete val="1"/>
        <c:axPos val="b"/>
        <c:majorTickMark val="none"/>
        <c:minorTickMark val="none"/>
        <c:tickLblPos val="nextTo"/>
        <c:crossAx val="1231635103"/>
        <c:crosses val="autoZero"/>
      </c:serAx>
      <c:dTable>
        <c:showHorzBorder val="1"/>
        <c:showVertBorder val="1"/>
        <c:showOutline val="1"/>
        <c:showKeys val="1"/>
        <c:spPr>
          <a:noFill/>
          <a:ln w="9525">
            <a:solidFill>
              <a:schemeClr val="dk1">
                <a:lumMod val="50000"/>
                <a:lumOff val="50000"/>
              </a:schemeClr>
            </a:solidFill>
          </a:ln>
          <a:effectLst/>
        </c:spPr>
        <c:txPr>
          <a:bodyPr rot="0" spcFirstLastPara="1" vertOverflow="ellipsis" vert="horz" wrap="square" anchor="ctr" anchorCtr="1"/>
          <a:lstStyle/>
          <a:p>
            <a:pPr rtl="0">
              <a:defRPr sz="900" b="0" i="0" u="none" strike="noStrike" kern="1200" baseline="0">
                <a:solidFill>
                  <a:schemeClr val="lt1">
                    <a:lumMod val="75000"/>
                  </a:schemeClr>
                </a:solidFill>
                <a:latin typeface="+mn-lt"/>
                <a:ea typeface="+mn-ea"/>
                <a:cs typeface="+mn-cs"/>
              </a:defRPr>
            </a:pPr>
            <a:endParaRPr lang="en-US"/>
          </a:p>
        </c:txPr>
      </c:dTable>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100199</xdr:colOff>
      <xdr:row>53</xdr:row>
      <xdr:rowOff>222735</xdr:rowOff>
    </xdr:from>
    <xdr:to>
      <xdr:col>11</xdr:col>
      <xdr:colOff>779721</xdr:colOff>
      <xdr:row>64</xdr:row>
      <xdr:rowOff>17721</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1664809</xdr:colOff>
      <xdr:row>0</xdr:row>
      <xdr:rowOff>0</xdr:rowOff>
    </xdr:from>
    <xdr:to>
      <xdr:col>9</xdr:col>
      <xdr:colOff>1949303</xdr:colOff>
      <xdr:row>6</xdr:row>
      <xdr:rowOff>1190961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401460" y="0"/>
          <a:ext cx="12511936" cy="2573194"/>
        </a:xfrm>
        <a:prstGeom prst="rect">
          <a:avLst/>
        </a:prstGeom>
      </xdr:spPr>
    </xdr:pic>
    <xdr:clientData/>
  </xdr:twoCellAnchor>
  <xdr:twoCellAnchor>
    <xdr:from>
      <xdr:col>17</xdr:col>
      <xdr:colOff>689737</xdr:colOff>
      <xdr:row>37</xdr:row>
      <xdr:rowOff>367019</xdr:rowOff>
    </xdr:from>
    <xdr:to>
      <xdr:col>23</xdr:col>
      <xdr:colOff>323700</xdr:colOff>
      <xdr:row>51</xdr:row>
      <xdr:rowOff>382968</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64</xdr:col>
      <xdr:colOff>799692</xdr:colOff>
      <xdr:row>0</xdr:row>
      <xdr:rowOff>52793</xdr:rowOff>
    </xdr:from>
    <xdr:to>
      <xdr:col>66</xdr:col>
      <xdr:colOff>641252</xdr:colOff>
      <xdr:row>1</xdr:row>
      <xdr:rowOff>883956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313736" y="52793"/>
          <a:ext cx="2474942" cy="19797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131535</xdr:colOff>
      <xdr:row>0</xdr:row>
      <xdr:rowOff>31750</xdr:rowOff>
    </xdr:from>
    <xdr:to>
      <xdr:col>1</xdr:col>
      <xdr:colOff>956442</xdr:colOff>
      <xdr:row>1</xdr:row>
      <xdr:rowOff>312965</xdr:rowOff>
    </xdr:to>
    <xdr:pic>
      <xdr:nvPicPr>
        <xdr:cNvPr id="2"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31535" y="31750"/>
          <a:ext cx="1151478" cy="879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310774</xdr:colOff>
      <xdr:row>0</xdr:row>
      <xdr:rowOff>0</xdr:rowOff>
    </xdr:from>
    <xdr:to>
      <xdr:col>2</xdr:col>
      <xdr:colOff>258729</xdr:colOff>
      <xdr:row>1</xdr:row>
      <xdr:rowOff>321627</xdr:rowOff>
    </xdr:to>
    <xdr:pic>
      <xdr:nvPicPr>
        <xdr:cNvPr id="2"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30814" y="0"/>
          <a:ext cx="1205255" cy="9159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678990</xdr:colOff>
      <xdr:row>0</xdr:row>
      <xdr:rowOff>39796</xdr:rowOff>
    </xdr:from>
    <xdr:to>
      <xdr:col>8</xdr:col>
      <xdr:colOff>270931</xdr:colOff>
      <xdr:row>4</xdr:row>
      <xdr:rowOff>59266</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604" r="74905" b="87151"/>
        <a:stretch>
          <a:fillRect/>
        </a:stretch>
      </xdr:blipFill>
      <xdr:spPr bwMode="auto">
        <a:xfrm>
          <a:off x="3978450" y="39796"/>
          <a:ext cx="742561" cy="750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OLA\Downloads\POA%202024%20DIRECC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2024\Planificaci&#243;n%202025\POA%202025\Presentaci&#243;n%20proyecto%202025\Segunda%20reuni&#243;n\POA%20-%20PRESUPUESTO%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24\Planificaci&#243;n%202025\POA%202025\Presentaci&#243;n%20proyecto%202025\Segunda%20reuni&#243;n\POA%20-%20PRESUPUESTO%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ER\Desktop\INFORME%20GASTOS%202025%20CBMCP%20clave%20Leveler4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6/GESTI&#211;N%20DE%20PRESUPUESTO%20Y%20PLANIFICACI&#211;N/PRESUPUESTO/Seguimiento%20Presupuestario/Ministerio%20de%20Finanzas/A&#241;o%202025/POA-PRESUPUESTO-DICIEMBR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Ingresos y Gastos"/>
      <sheetName val="Resumen Gastos"/>
      <sheetName val="ART.249"/>
      <sheetName val="ALINEACIÓN PDyOT - PND"/>
      <sheetName val="OE PDyOT"/>
      <sheetName val="Polit. PDyOT"/>
      <sheetName val="Metas PDyOT"/>
      <sheetName val="110. ALCALDIA"/>
      <sheetName val="111. P SINDICA"/>
      <sheetName val="112. COMUNICACION"/>
      <sheetName val="113. S GENERAL"/>
      <sheetName val="114. ADMINISTRATIVA"/>
      <sheetName val="115. STPC"/>
      <sheetName val="121. FINANCIERO"/>
      <sheetName val="127. R PROPIEDAD"/>
      <sheetName val="142. TRANSITO"/>
      <sheetName val="211. TURISMO"/>
      <sheetName val="315. AMBIENTE"/>
      <sheetName val="511. G. C. Entidad"/>
      <sheetName val="Incidencia Serv. Públicos"/>
      <sheetName val="LOSEP Contratados"/>
      <sheetName val="Incidencia Trabajadores"/>
      <sheetName val="Trabajadores Contratados"/>
      <sheetName val="LOSEP CODIGO MIES"/>
      <sheetName val="JUBILADOS"/>
      <sheetName val="AVALUOS Y CATASTROS"/>
    </sheetNames>
    <sheetDataSet>
      <sheetData sheetId="0"/>
      <sheetData sheetId="1"/>
      <sheetData sheetId="2"/>
      <sheetData sheetId="3"/>
      <sheetData sheetId="4">
        <row r="3">
          <cell r="A3" t="str">
            <v>AMBIENTAL</v>
          </cell>
        </row>
        <row r="4">
          <cell r="A4" t="str">
            <v>ECONO</v>
          </cell>
        </row>
        <row r="5">
          <cell r="A5" t="str">
            <v>CULTURAL</v>
          </cell>
        </row>
        <row r="6">
          <cell r="A6" t="str">
            <v>ASENTAMIENTOS</v>
          </cell>
        </row>
        <row r="7">
          <cell r="A7" t="str">
            <v>MOVENERCONTRA</v>
          </cell>
        </row>
        <row r="8">
          <cell r="A8" t="str">
            <v>PARTICIPACION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detalle"/>
      <sheetName val="Estimacion"/>
      <sheetName val="31.07.2024"/>
      <sheetName val="POA 2025"/>
      <sheetName val="001"/>
      <sheetName val="002"/>
      <sheetName val="Regla"/>
      <sheetName val="Ingresos"/>
      <sheetName val="Cupos Gastos"/>
      <sheetName val="INGRESOS RESUMEN"/>
    </sheetNames>
    <sheetDataSet>
      <sheetData sheetId="0"/>
      <sheetData sheetId="1"/>
      <sheetData sheetId="2">
        <row r="2">
          <cell r="A2" t="str">
            <v>CUERPO DE BOMBEROS MUNICIPAL DEL CANTÓN PASTAZA</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detalle"/>
      <sheetName val="Estimacion"/>
      <sheetName val="31.07.2024"/>
      <sheetName val="POA 2025"/>
      <sheetName val="001"/>
      <sheetName val="002"/>
      <sheetName val="Regla"/>
      <sheetName val="Ingresos"/>
      <sheetName val="Cupos Gastos"/>
      <sheetName val="INGRESOS RESUMEN"/>
    </sheetNames>
    <sheetDataSet>
      <sheetData sheetId="0"/>
      <sheetData sheetId="1"/>
      <sheetData sheetId="2">
        <row r="2">
          <cell r="A2" t="str">
            <v>CUERPO DE BOMBEROS MUNICIPAL DEL CANTÓN PASTAZA</v>
          </cell>
        </row>
        <row r="11">
          <cell r="J11">
            <v>0</v>
          </cell>
        </row>
        <row r="12">
          <cell r="J12">
            <v>0</v>
          </cell>
        </row>
        <row r="13">
          <cell r="J13">
            <v>0</v>
          </cell>
        </row>
        <row r="14">
          <cell r="J14">
            <v>0</v>
          </cell>
        </row>
        <row r="15">
          <cell r="J15">
            <v>0</v>
          </cell>
        </row>
        <row r="16">
          <cell r="J16">
            <v>0</v>
          </cell>
        </row>
        <row r="17">
          <cell r="J17">
            <v>0</v>
          </cell>
        </row>
        <row r="18">
          <cell r="J18">
            <v>0</v>
          </cell>
        </row>
        <row r="21">
          <cell r="J21">
            <v>0</v>
          </cell>
        </row>
        <row r="30">
          <cell r="B30" t="str">
            <v>CONTRIBUCIÓN PREDIAL A FAVOR DE LOS CUERPOS DE BOMBEROS</v>
          </cell>
        </row>
        <row r="31">
          <cell r="A31" t="str">
            <v>1.3.01.99.001</v>
          </cell>
          <cell r="B31" t="str">
            <v>ESP. FISCALES (SOLICITUD DE INSPECCIÓN)</v>
          </cell>
        </row>
        <row r="44">
          <cell r="J44">
            <v>5900</v>
          </cell>
        </row>
        <row r="82">
          <cell r="J82">
            <v>0</v>
          </cell>
        </row>
        <row r="85">
          <cell r="J85">
            <v>0</v>
          </cell>
        </row>
        <row r="86">
          <cell r="J86">
            <v>0</v>
          </cell>
        </row>
      </sheetData>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ERGENCIAS"/>
      <sheetName val="RIESGOS"/>
      <sheetName val="GESTIÓN ADM"/>
      <sheetName val="acti 2020"/>
      <sheetName val="9 eje mensGráfico1"/>
      <sheetName val="Hoja7"/>
      <sheetName val="Hoja1"/>
      <sheetName val="Hoja2"/>
      <sheetName val="Hoja3"/>
      <sheetName val="Hoja4"/>
      <sheetName val="Hoja5"/>
      <sheetName val="Hoja6"/>
      <sheetName val="Hoja8"/>
      <sheetName val="Hoja9"/>
      <sheetName val="BASE"/>
      <sheetName val="7,PR PO ACTIVI"/>
      <sheetName val="6 PRO C VS D"/>
      <sheetName val="5. EJE PROG"/>
      <sheetName val="BASE GRA 5 Y 6"/>
      <sheetName val="4 PROYECTOS"/>
      <sheetName val="proy meses"/>
      <sheetName val="4. proyectos 2020"/>
      <sheetName val="3.9 PEGAR POA DEL SISTEMA"/>
      <sheetName val="3.EJECUCION POR TIPO DE GASTO"/>
      <sheetName val="ejecucion mensual"/>
      <sheetName val="2.GRUPO"/>
      <sheetName val=" 1 CEDULA GASTOS"/>
      <sheetName val="0.5. CEDULA INGRESOS"/>
      <sheetName val="0.6. E.EJE PRES"/>
      <sheetName val="informe"/>
      <sheetName val="0,7 detalle de ingresos "/>
      <sheetName val="0,8 detalle de gastos "/>
      <sheetName val="0,10 bajo la linea"/>
      <sheetName val="0,9 Flujo de caja "/>
      <sheetName val="ENE"/>
      <sheetName val="FEB"/>
      <sheetName val="MAR"/>
      <sheetName val="ABR"/>
      <sheetName val="MAY"/>
      <sheetName val="JUN"/>
      <sheetName val="JUL"/>
      <sheetName val="AGO"/>
      <sheetName val="SEP"/>
      <sheetName val="OCT"/>
      <sheetName val="NOV"/>
      <sheetName val="DIC"/>
    </sheetNames>
    <sheetDataSet>
      <sheetData sheetId="3"/>
      <sheetData sheetId="5"/>
      <sheetData sheetId="6"/>
      <sheetData sheetId="7"/>
      <sheetData sheetId="8"/>
      <sheetData sheetId="9"/>
      <sheetData sheetId="10"/>
      <sheetData sheetId="11"/>
      <sheetData sheetId="12"/>
      <sheetData sheetId="13"/>
      <sheetData sheetId="14"/>
      <sheetData sheetId="15"/>
      <sheetData sheetId="18"/>
      <sheetData sheetId="19"/>
      <sheetData sheetId="20"/>
      <sheetData sheetId="21">
        <row r="3">
          <cell r="L3" t="str">
            <v xml:space="preserve"> COMPROMISO</v>
          </cell>
        </row>
        <row r="10">
          <cell r="D10" t="str">
            <v>ATENCIÓN DE EMERGENCIAS</v>
          </cell>
          <cell r="O10">
            <v>0.62125608525946563</v>
          </cell>
        </row>
        <row r="17">
          <cell r="D17" t="str">
            <v>GESTIÓN ADMINISTRATIVA</v>
          </cell>
          <cell r="O17">
            <v>0.83525074756323803</v>
          </cell>
        </row>
        <row r="19">
          <cell r="D19" t="str">
            <v>REMUNERACIONES</v>
          </cell>
          <cell r="O19">
            <v>0.97324551188348185</v>
          </cell>
        </row>
      </sheetData>
      <sheetData sheetId="22"/>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so2025"/>
      <sheetName val="RESU"/>
      <sheetName val="POA2025"/>
      <sheetName val="PRES-GASTO"/>
      <sheetName val="PRES-INGRESOS"/>
      <sheetName val="PUNTOEQUI"/>
      <sheetName val="INGRESOS MENSUALES"/>
      <sheetName val="NIVELES"/>
    </sheetNames>
    <sheetDataSet>
      <sheetData sheetId="0" refreshError="1"/>
      <sheetData sheetId="1" refreshError="1"/>
      <sheetData sheetId="2" refreshError="1"/>
      <sheetData sheetId="3">
        <row r="139">
          <cell r="BM139">
            <v>69643.520000000004</v>
          </cell>
        </row>
        <row r="141">
          <cell r="BM141">
            <v>83295.58</v>
          </cell>
        </row>
        <row r="153">
          <cell r="BM153">
            <v>11375</v>
          </cell>
        </row>
      </sheetData>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compraspublicas.gob.ec/ProcesoContratacion/compras/NCO/NCORegistroDetalle.cpe?&amp;id=Sq1kwxYV9yRj9eudo7HfF3NDzKAKnMpbMNqKazPks0M,&amp;op=0" TargetMode="External"/><Relationship Id="rId7" Type="http://schemas.openxmlformats.org/officeDocument/2006/relationships/hyperlink" Target="https://www.compraspublicas.gob.ec/ProcesoContratacion/compras/NCO/NCORegistroDetalle.cpe?&amp;id=pEzaDkJWKXywfh-Nvi3W-LfCSi4m6u8iegrIzAfsEbA,&amp;op=0" TargetMode="External"/><Relationship Id="rId2" Type="http://schemas.openxmlformats.org/officeDocument/2006/relationships/hyperlink" Target="https://www.compraspublicas.gob.ec/ProcesoContratacion/compras/PC/informacionProcesoContratacion2.cpe?idSoliCompra=ltPHDYW7U7AJjVktJ-qei2KtenJM89yNEpe28C62BgE," TargetMode="External"/><Relationship Id="rId1" Type="http://schemas.openxmlformats.org/officeDocument/2006/relationships/hyperlink" Target="https://www.compraspublicas.gob.ec/ProcesoContratacion/compras/PC/informacionProcesoContratacion2.cpe?idSoliCompra=i4Ab_tvLo97yjJOZJqud7hrim3tSbVDHLDZZI23ziuI," TargetMode="External"/><Relationship Id="rId6" Type="http://schemas.openxmlformats.org/officeDocument/2006/relationships/hyperlink" Target="https://www.compraspublicas.gob.ec/ProcesoContratacion/compras/NCO/NCORegistroDetalle.cpe?&amp;id=fCdf0xiPe_wL0d1W1F_flYqys_CXIIKUMlbXWx7JGck,&amp;op=0" TargetMode="External"/><Relationship Id="rId5" Type="http://schemas.openxmlformats.org/officeDocument/2006/relationships/hyperlink" Target="https://www.compraspublicas.gob.ec/ProcesoContratacion/compras/NCO/NCORegistroDetalle.cpe?&amp;id=CYTkxKSpXSO-8LXFsK-Zp8SxQYVDegFRDVx2yNBbG1s,&amp;op=0" TargetMode="External"/><Relationship Id="rId4" Type="http://schemas.openxmlformats.org/officeDocument/2006/relationships/hyperlink" Target="https://www.compraspublicas.gob.ec/ProcesoContratacion/compras/NCO/NCORegistroDetalle.cpe?&amp;id=RQzxLfbfg-i7EytMHsE878JDK6ro8UGGngy0Cy_hi1M,&amp;op=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53"/>
  <sheetViews>
    <sheetView topLeftCell="K31" zoomScale="50" zoomScaleNormal="50" workbookViewId="0">
      <selection activeCell="O50" sqref="O50"/>
    </sheetView>
  </sheetViews>
  <sheetFormatPr baseColWidth="10" defaultColWidth="10.6640625" defaultRowHeight="18" x14ac:dyDescent="0.35"/>
  <cols>
    <col min="1" max="1" width="5.109375" style="84" customWidth="1"/>
    <col min="2" max="2" width="20.109375" style="85" customWidth="1"/>
    <col min="3" max="3" width="35.44140625" style="85" customWidth="1"/>
    <col min="4" max="4" width="87.5546875" style="84" customWidth="1"/>
    <col min="5" max="5" width="23.33203125" style="84" hidden="1" customWidth="1"/>
    <col min="6" max="6" width="24.6640625" style="84" hidden="1" customWidth="1"/>
    <col min="7" max="7" width="27.44140625" style="84" hidden="1" customWidth="1"/>
    <col min="8" max="8" width="30.6640625" style="84" customWidth="1"/>
    <col min="9" max="9" width="24.6640625" style="84" customWidth="1"/>
    <col min="10" max="10" width="29.33203125" style="84" customWidth="1"/>
    <col min="11" max="11" width="24.6640625" style="84" customWidth="1"/>
    <col min="12" max="12" width="27.5546875" style="84" customWidth="1"/>
    <col min="13" max="13" width="26" style="84" customWidth="1"/>
    <col min="14" max="14" width="27.33203125" style="84" customWidth="1"/>
    <col min="15" max="15" width="24.109375" style="84" customWidth="1"/>
    <col min="16" max="16" width="27.88671875" style="84" customWidth="1"/>
    <col min="17" max="17" width="13.6640625" style="84" customWidth="1"/>
    <col min="18" max="18" width="27.6640625" style="84" customWidth="1"/>
    <col min="19" max="19" width="14" style="84" customWidth="1"/>
    <col min="20" max="20" width="27" style="84" customWidth="1"/>
    <col min="21" max="21" width="24.88671875" style="84" customWidth="1"/>
    <col min="22" max="22" width="20.21875" style="84" bestFit="1" customWidth="1"/>
    <col min="23" max="23" width="10.77734375" style="84" bestFit="1" customWidth="1"/>
    <col min="24" max="16384" width="10.6640625" style="84"/>
  </cols>
  <sheetData>
    <row r="1" spans="1:16" x14ac:dyDescent="0.35">
      <c r="A1" s="340"/>
      <c r="B1" s="427"/>
      <c r="C1" s="427"/>
      <c r="D1" s="340"/>
      <c r="E1" s="340"/>
      <c r="F1" s="340"/>
      <c r="G1" s="340"/>
      <c r="H1" s="340"/>
      <c r="I1" s="340"/>
      <c r="J1" s="340"/>
      <c r="K1" s="340"/>
      <c r="L1" s="340"/>
      <c r="M1" s="340"/>
    </row>
    <row r="2" spans="1:16" x14ac:dyDescent="0.35">
      <c r="A2" s="340"/>
      <c r="B2" s="427"/>
      <c r="C2" s="427"/>
      <c r="D2" s="340"/>
      <c r="E2" s="340"/>
      <c r="F2" s="340"/>
      <c r="G2" s="340"/>
      <c r="H2" s="340"/>
      <c r="I2" s="340"/>
      <c r="J2" s="340"/>
      <c r="K2" s="340"/>
      <c r="L2" s="340"/>
      <c r="M2" s="340"/>
    </row>
    <row r="3" spans="1:16" x14ac:dyDescent="0.35">
      <c r="A3" s="340"/>
      <c r="B3" s="427"/>
      <c r="C3" s="427"/>
      <c r="D3" s="340"/>
      <c r="E3" s="340"/>
      <c r="F3" s="340"/>
      <c r="G3" s="340"/>
      <c r="H3" s="340"/>
      <c r="I3" s="340"/>
      <c r="J3" s="340"/>
      <c r="K3" s="340"/>
      <c r="L3" s="340"/>
      <c r="M3" s="340"/>
    </row>
    <row r="4" spans="1:16" x14ac:dyDescent="0.35">
      <c r="A4" s="340"/>
      <c r="B4" s="427"/>
      <c r="C4" s="427"/>
      <c r="D4" s="340"/>
      <c r="E4" s="340"/>
      <c r="F4" s="340"/>
      <c r="G4" s="340"/>
      <c r="H4" s="340"/>
      <c r="I4" s="340"/>
      <c r="J4" s="340"/>
      <c r="K4" s="340"/>
      <c r="L4" s="340"/>
      <c r="M4" s="340"/>
    </row>
    <row r="5" spans="1:16" x14ac:dyDescent="0.35">
      <c r="A5" s="340"/>
      <c r="B5" s="427"/>
      <c r="C5" s="427"/>
      <c r="D5" s="340"/>
      <c r="E5" s="340"/>
      <c r="F5" s="340"/>
      <c r="G5" s="340"/>
      <c r="H5" s="340"/>
      <c r="I5" s="340"/>
      <c r="J5" s="340"/>
      <c r="K5" s="340"/>
      <c r="L5" s="340"/>
      <c r="M5" s="340"/>
    </row>
    <row r="6" spans="1:16" x14ac:dyDescent="0.35">
      <c r="A6" s="340"/>
      <c r="B6" s="427"/>
      <c r="C6" s="427"/>
      <c r="D6" s="340"/>
      <c r="E6" s="340"/>
      <c r="F6" s="340"/>
      <c r="G6" s="340"/>
      <c r="H6" s="340"/>
      <c r="I6" s="340"/>
      <c r="J6" s="340"/>
      <c r="K6" s="340"/>
      <c r="L6" s="340"/>
      <c r="M6" s="340"/>
    </row>
    <row r="7" spans="1:16" ht="106.2" customHeight="1" thickBot="1" x14ac:dyDescent="0.4">
      <c r="A7" s="340"/>
      <c r="B7" s="427"/>
      <c r="C7" s="427"/>
      <c r="D7" s="340"/>
      <c r="E7" s="340"/>
      <c r="F7" s="340"/>
      <c r="G7" s="340"/>
      <c r="H7" s="340"/>
      <c r="I7" s="340"/>
      <c r="J7" s="340"/>
      <c r="K7" s="340"/>
      <c r="L7" s="340"/>
      <c r="M7" s="340"/>
    </row>
    <row r="8" spans="1:16" ht="40.950000000000003" customHeight="1" thickBot="1" x14ac:dyDescent="0.4">
      <c r="B8" s="596" t="s">
        <v>520</v>
      </c>
      <c r="C8" s="597"/>
      <c r="D8" s="597"/>
      <c r="E8" s="597"/>
      <c r="F8" s="597"/>
      <c r="G8" s="597"/>
      <c r="H8" s="597"/>
      <c r="I8" s="597"/>
      <c r="J8" s="597"/>
      <c r="K8" s="597"/>
      <c r="L8" s="597"/>
      <c r="M8" s="598"/>
    </row>
    <row r="9" spans="1:16" s="429" customFormat="1" ht="28.2" customHeight="1" thickBot="1" x14ac:dyDescent="0.5">
      <c r="B9" s="613" t="s">
        <v>1079</v>
      </c>
      <c r="C9" s="614"/>
      <c r="D9" s="614"/>
      <c r="E9" s="614"/>
      <c r="F9" s="614"/>
      <c r="G9" s="614"/>
      <c r="H9" s="614"/>
      <c r="I9" s="614"/>
      <c r="J9" s="614"/>
      <c r="K9" s="614"/>
      <c r="L9" s="614"/>
      <c r="M9" s="615"/>
    </row>
    <row r="10" spans="1:16" ht="18.600000000000001" thickBot="1" x14ac:dyDescent="0.4"/>
    <row r="11" spans="1:16" ht="34.200000000000003" customHeight="1" thickBot="1" x14ac:dyDescent="0.4">
      <c r="B11" s="618" t="s">
        <v>897</v>
      </c>
      <c r="C11" s="620" t="s">
        <v>8</v>
      </c>
      <c r="D11" s="620" t="s">
        <v>329</v>
      </c>
      <c r="E11" s="501" t="s">
        <v>518</v>
      </c>
      <c r="F11" s="502" t="s">
        <v>891</v>
      </c>
      <c r="G11" s="503" t="s">
        <v>395</v>
      </c>
      <c r="H11" s="616" t="s">
        <v>518</v>
      </c>
      <c r="I11" s="617"/>
      <c r="J11" s="624" t="s">
        <v>977</v>
      </c>
      <c r="K11" s="625"/>
      <c r="L11" s="624" t="s">
        <v>1139</v>
      </c>
      <c r="M11" s="625"/>
      <c r="N11" s="616" t="s">
        <v>976</v>
      </c>
      <c r="O11" s="617"/>
      <c r="P11" s="340"/>
    </row>
    <row r="12" spans="1:16" ht="48" customHeight="1" thickBot="1" x14ac:dyDescent="0.4">
      <c r="B12" s="619"/>
      <c r="C12" s="621"/>
      <c r="D12" s="621"/>
      <c r="E12" s="504"/>
      <c r="F12" s="505"/>
      <c r="G12" s="506"/>
      <c r="H12" s="507" t="s">
        <v>975</v>
      </c>
      <c r="I12" s="508" t="s">
        <v>328</v>
      </c>
      <c r="J12" s="510" t="s">
        <v>975</v>
      </c>
      <c r="K12" s="574" t="s">
        <v>328</v>
      </c>
      <c r="L12" s="510" t="s">
        <v>975</v>
      </c>
      <c r="M12" s="581" t="s">
        <v>328</v>
      </c>
      <c r="N12" s="509">
        <v>2026</v>
      </c>
      <c r="O12" s="507">
        <v>2027</v>
      </c>
      <c r="P12" s="340"/>
    </row>
    <row r="13" spans="1:16" ht="43.95" customHeight="1" x14ac:dyDescent="0.35">
      <c r="B13" s="602" t="s">
        <v>900</v>
      </c>
      <c r="C13" s="466" t="s">
        <v>38</v>
      </c>
      <c r="D13" s="467" t="s">
        <v>44</v>
      </c>
      <c r="E13" s="468">
        <f>SUM('POA2025'!BB8:BB19)</f>
        <v>1023387.2</v>
      </c>
      <c r="F13" s="468">
        <f>SUM('POA2025'!BC8:BC19)</f>
        <v>35464</v>
      </c>
      <c r="G13" s="469">
        <f>SUM('POA2025'!BD8:BD19)</f>
        <v>35464</v>
      </c>
      <c r="H13" s="470">
        <f>SUM('POA2025'!BK8:BK19)</f>
        <v>1023387.2</v>
      </c>
      <c r="I13" s="471">
        <f t="shared" ref="I13:I27" si="0">(H13*100%)/H$28</f>
        <v>0.45241510416928382</v>
      </c>
      <c r="J13" s="474">
        <f>SUM('POA2025'!CD8:CD19)</f>
        <v>652205.82999999996</v>
      </c>
      <c r="K13" s="475">
        <f t="shared" ref="K13:K26" si="1">((J13*100%)/H13)</f>
        <v>0.63730114076079902</v>
      </c>
      <c r="L13" s="474">
        <f>SUM('POA2025'!CE8:CE19)</f>
        <v>652205.82999999996</v>
      </c>
      <c r="M13" s="475">
        <f t="shared" ref="M13:M26" si="2">((L13*100%)/J13)</f>
        <v>1</v>
      </c>
      <c r="N13" s="472"/>
      <c r="O13" s="473"/>
      <c r="P13" s="340"/>
    </row>
    <row r="14" spans="1:16" ht="31.2" customHeight="1" x14ac:dyDescent="0.35">
      <c r="B14" s="603"/>
      <c r="C14" s="605" t="s">
        <v>90</v>
      </c>
      <c r="D14" s="476" t="s">
        <v>44</v>
      </c>
      <c r="E14" s="477">
        <f>SUM('POA2025'!BB20:BB26)</f>
        <v>69960.471999999994</v>
      </c>
      <c r="F14" s="477">
        <f>SUM('POA2025'!BC20:BC26)</f>
        <v>19177.34</v>
      </c>
      <c r="G14" s="478">
        <f>SUM('POA2025'!BD20:BD26)</f>
        <v>0</v>
      </c>
      <c r="H14" s="479">
        <f>SUM('POA2025'!BK20:BK26)</f>
        <v>87052.812000000005</v>
      </c>
      <c r="I14" s="480">
        <f t="shared" si="0"/>
        <v>3.8483974598479527E-2</v>
      </c>
      <c r="J14" s="483">
        <f>SUM('POA2025'!CD20:CD26)</f>
        <v>34803.33</v>
      </c>
      <c r="K14" s="475">
        <f t="shared" si="1"/>
        <v>0.39979558615521804</v>
      </c>
      <c r="L14" s="483">
        <f>SUM('POA2025'!CE20:CE26)</f>
        <v>34803.33</v>
      </c>
      <c r="M14" s="475">
        <f t="shared" si="2"/>
        <v>1</v>
      </c>
      <c r="N14" s="481"/>
      <c r="O14" s="482"/>
      <c r="P14" s="340"/>
    </row>
    <row r="15" spans="1:16" ht="31.2" customHeight="1" x14ac:dyDescent="0.35">
      <c r="B15" s="603"/>
      <c r="C15" s="605"/>
      <c r="D15" s="476" t="s">
        <v>132</v>
      </c>
      <c r="E15" s="477">
        <f>SUM('POA2025'!BB27:BB43)</f>
        <v>52299.57</v>
      </c>
      <c r="F15" s="477">
        <f>SUM('POA2025'!BC27:BC43)</f>
        <v>0</v>
      </c>
      <c r="G15" s="478">
        <f>SUM('POA2025'!BD27:BD43)</f>
        <v>1968.87</v>
      </c>
      <c r="H15" s="479">
        <f>SUM('POA2025'!BK27:BK43)</f>
        <v>50430.7</v>
      </c>
      <c r="I15" s="480">
        <f t="shared" si="0"/>
        <v>2.2294211217249837E-2</v>
      </c>
      <c r="J15" s="483">
        <f>SUM('POA2025'!CD27:CD43)</f>
        <v>38304.160000000003</v>
      </c>
      <c r="K15" s="475">
        <f t="shared" si="1"/>
        <v>0.75954051797813649</v>
      </c>
      <c r="L15" s="483">
        <f>SUM('POA2025'!CE27:CE43)</f>
        <v>38304.160000000003</v>
      </c>
      <c r="M15" s="475">
        <f t="shared" si="2"/>
        <v>1</v>
      </c>
      <c r="N15" s="481"/>
      <c r="O15" s="482"/>
      <c r="P15" s="340"/>
    </row>
    <row r="16" spans="1:16" ht="47.4" customHeight="1" x14ac:dyDescent="0.35">
      <c r="B16" s="603"/>
      <c r="C16" s="605"/>
      <c r="D16" s="476" t="s">
        <v>904</v>
      </c>
      <c r="E16" s="477">
        <f>SUM('POA2025'!BB44:BB65)</f>
        <v>173204.80000000002</v>
      </c>
      <c r="F16" s="477">
        <f>SUM('POA2025'!BC44:BC65)</f>
        <v>2780</v>
      </c>
      <c r="G16" s="478">
        <f>SUM('POA2025'!BD44:BD65)</f>
        <v>66987.47</v>
      </c>
      <c r="H16" s="479">
        <f>SUM('POA2025'!BK44:BK65)</f>
        <v>108997.32999999999</v>
      </c>
      <c r="I16" s="480">
        <f t="shared" si="0"/>
        <v>4.8185123290699558E-2</v>
      </c>
      <c r="J16" s="483">
        <f>SUM('POA2025'!CD44:CD65)</f>
        <v>78032.69</v>
      </c>
      <c r="K16" s="475">
        <f t="shared" si="1"/>
        <v>0.71591377513559284</v>
      </c>
      <c r="L16" s="483">
        <f>SUM('POA2025'!CE44:CE65)</f>
        <v>78032.69</v>
      </c>
      <c r="M16" s="475">
        <f t="shared" si="2"/>
        <v>1</v>
      </c>
      <c r="N16" s="481"/>
      <c r="O16" s="482"/>
      <c r="P16" s="340"/>
    </row>
    <row r="17" spans="2:23" ht="47.4" customHeight="1" x14ac:dyDescent="0.35">
      <c r="B17" s="603"/>
      <c r="C17" s="605"/>
      <c r="D17" s="476" t="s">
        <v>902</v>
      </c>
      <c r="E17" s="477">
        <f>SUM('POA2025'!BB108:BB109)+('POA2025'!BB110+'POA2025'!BB111)</f>
        <v>1357.7199999999998</v>
      </c>
      <c r="F17" s="477">
        <f>SUM('POA2025'!BC108:BC109)+('POA2025'!BC110+'POA2025'!BC111)</f>
        <v>3330</v>
      </c>
      <c r="G17" s="478">
        <f>SUM('POA2025'!BD108:BD109)+('POA2025'!BD110+'POA2025'!BD111)</f>
        <v>0</v>
      </c>
      <c r="H17" s="479">
        <f>SUM('POA2025'!BK108:BK109)+('POA2025'!BK110+'POA2025'!BK111)</f>
        <v>4687.7199999999993</v>
      </c>
      <c r="I17" s="480">
        <f t="shared" si="0"/>
        <v>2.0723293511160147E-3</v>
      </c>
      <c r="J17" s="483">
        <f>SUM('POA2025'!CD108:CD109)+('POA2025'!CD110+'POA2025'!CD111)</f>
        <v>3481.2400000000002</v>
      </c>
      <c r="K17" s="475">
        <f t="shared" si="1"/>
        <v>0.74262967924705414</v>
      </c>
      <c r="L17" s="483">
        <f>SUM('POA2025'!CE108:CE109)+('POA2025'!CE110+'POA2025'!CE111)</f>
        <v>1995.04</v>
      </c>
      <c r="M17" s="475">
        <f t="shared" si="2"/>
        <v>0.57308315427836054</v>
      </c>
      <c r="N17" s="481"/>
      <c r="O17" s="482"/>
      <c r="P17" s="340"/>
    </row>
    <row r="18" spans="2:23" ht="47.4" customHeight="1" x14ac:dyDescent="0.35">
      <c r="B18" s="603"/>
      <c r="C18" s="605"/>
      <c r="D18" s="476" t="s">
        <v>903</v>
      </c>
      <c r="E18" s="477">
        <f>SUM('POA2025'!BB66:BB85)</f>
        <v>80757.597999999998</v>
      </c>
      <c r="F18" s="477">
        <f>SUM('POA2025'!BC66:BC85)</f>
        <v>5300</v>
      </c>
      <c r="G18" s="478">
        <f>SUM('POA2025'!BD66:BD85)</f>
        <v>33676.880000000005</v>
      </c>
      <c r="H18" s="479">
        <f>SUM('POA2025'!BK66:BK85)</f>
        <v>54195.718000000001</v>
      </c>
      <c r="I18" s="480">
        <f t="shared" si="0"/>
        <v>2.395863599280813E-2</v>
      </c>
      <c r="J18" s="483">
        <f>SUM('POA2025'!CD66:CD85)</f>
        <v>28214.47</v>
      </c>
      <c r="K18" s="475">
        <f t="shared" si="1"/>
        <v>0.52060330670404631</v>
      </c>
      <c r="L18" s="483">
        <f>SUM('POA2025'!CE66:CE85)</f>
        <v>28214.47</v>
      </c>
      <c r="M18" s="475">
        <f t="shared" si="2"/>
        <v>1</v>
      </c>
      <c r="N18" s="479">
        <f>SUM('POA2025'!BM66:BM85)</f>
        <v>27569.22</v>
      </c>
      <c r="O18" s="482"/>
      <c r="P18" s="340"/>
    </row>
    <row r="19" spans="2:23" ht="47.4" customHeight="1" x14ac:dyDescent="0.35">
      <c r="B19" s="603"/>
      <c r="C19" s="605"/>
      <c r="D19" s="476" t="s">
        <v>901</v>
      </c>
      <c r="E19" s="477">
        <f>SUM('POA2025'!BB86:BB107)</f>
        <v>79125.233333333323</v>
      </c>
      <c r="F19" s="477">
        <f>SUM('POA2025'!BC86:BC107)</f>
        <v>2884</v>
      </c>
      <c r="G19" s="478">
        <f>SUM('POA2025'!BD86:BD107)</f>
        <v>14111.85</v>
      </c>
      <c r="H19" s="479">
        <f>SUM('POA2025'!BK86:BK107)</f>
        <v>48905.71666666666</v>
      </c>
      <c r="I19" s="480">
        <f t="shared" si="0"/>
        <v>2.1620052410488894E-2</v>
      </c>
      <c r="J19" s="483">
        <f>SUM('POA2025'!CD86:CD107)</f>
        <v>27772.05</v>
      </c>
      <c r="K19" s="475">
        <f t="shared" si="1"/>
        <v>0.56786919593244556</v>
      </c>
      <c r="L19" s="483">
        <f>SUM('POA2025'!CE86:CE107)</f>
        <v>27712.05</v>
      </c>
      <c r="M19" s="475">
        <f t="shared" si="2"/>
        <v>0.99783955451614126</v>
      </c>
      <c r="N19" s="479">
        <f>SUM('POA2025'!BM86:BM107)</f>
        <v>14868.333333333336</v>
      </c>
      <c r="O19" s="484">
        <f>SUM('POA2025'!BN86:BN107)</f>
        <v>285</v>
      </c>
      <c r="P19" s="340"/>
    </row>
    <row r="20" spans="2:23" ht="32.4" customHeight="1" thickBot="1" x14ac:dyDescent="0.4">
      <c r="B20" s="603"/>
      <c r="C20" s="606"/>
      <c r="D20" s="485" t="s">
        <v>905</v>
      </c>
      <c r="E20" s="486">
        <f>SUM('POA2025'!BB112:BB116)</f>
        <v>5805</v>
      </c>
      <c r="F20" s="486">
        <f>SUM('POA2025'!BC112:BC116)</f>
        <v>1535</v>
      </c>
      <c r="G20" s="487">
        <f>SUM('POA2025'!BD112:BD116)</f>
        <v>0</v>
      </c>
      <c r="H20" s="488">
        <f>SUM('POA2025'!BK112:BK116)</f>
        <v>8000</v>
      </c>
      <c r="I20" s="489">
        <f t="shared" si="0"/>
        <v>3.5366094410348996E-3</v>
      </c>
      <c r="J20" s="492">
        <f>SUM('POA2025'!CD112:CD116)</f>
        <v>0</v>
      </c>
      <c r="K20" s="493">
        <f t="shared" si="1"/>
        <v>0</v>
      </c>
      <c r="L20" s="492">
        <f>SUM('POA2025'!CE112:CE116)</f>
        <v>0</v>
      </c>
      <c r="M20" s="475" t="e">
        <f>((L20*100%)/J20)</f>
        <v>#DIV/0!</v>
      </c>
      <c r="N20" s="490"/>
      <c r="O20" s="491"/>
      <c r="P20" s="340"/>
    </row>
    <row r="21" spans="2:23" ht="34.200000000000003" customHeight="1" thickBot="1" x14ac:dyDescent="0.4">
      <c r="B21" s="604"/>
      <c r="C21" s="607" t="s">
        <v>909</v>
      </c>
      <c r="D21" s="608"/>
      <c r="E21" s="511">
        <f>SUM(E13:E20)</f>
        <v>1485897.5933333335</v>
      </c>
      <c r="F21" s="511">
        <f t="shared" ref="F21:G21" si="3">SUM(F13:F20)</f>
        <v>70470.34</v>
      </c>
      <c r="G21" s="512">
        <f t="shared" si="3"/>
        <v>152209.07</v>
      </c>
      <c r="H21" s="513">
        <f>SUM(H13:H20)</f>
        <v>1385657.1966666665</v>
      </c>
      <c r="I21" s="514">
        <f t="shared" si="0"/>
        <v>0.6125660404711607</v>
      </c>
      <c r="J21" s="516">
        <f>SUM(J13:J20)</f>
        <v>862813.77</v>
      </c>
      <c r="K21" s="517">
        <f>((J21*100%)/H21)</f>
        <v>0.62267476550158485</v>
      </c>
      <c r="L21" s="516">
        <f>SUM(L13:L20)</f>
        <v>861267.57000000007</v>
      </c>
      <c r="M21" s="517">
        <f>((L21*100%)/H21)</f>
        <v>0.6215589050970638</v>
      </c>
      <c r="N21" s="513">
        <f>SUM(N13:N20)</f>
        <v>42437.553333333337</v>
      </c>
      <c r="O21" s="515">
        <f>SUM(O13:O20)</f>
        <v>285</v>
      </c>
      <c r="P21" s="340"/>
    </row>
    <row r="22" spans="2:23" ht="39" customHeight="1" x14ac:dyDescent="0.35">
      <c r="B22" s="602" t="s">
        <v>899</v>
      </c>
      <c r="C22" s="466" t="s">
        <v>248</v>
      </c>
      <c r="D22" s="467" t="s">
        <v>889</v>
      </c>
      <c r="E22" s="494">
        <f>SUM('POA2025'!BB117:BB124)</f>
        <v>22671</v>
      </c>
      <c r="F22" s="494">
        <f>SUM('POA2025'!BC117:BC124)</f>
        <v>0</v>
      </c>
      <c r="G22" s="495">
        <f>SUM('POA2025'!BD117:BD124)</f>
        <v>14047</v>
      </c>
      <c r="H22" s="496">
        <f>SUM('POA2025'!BK117:BK124)</f>
        <v>8624</v>
      </c>
      <c r="I22" s="471">
        <f t="shared" si="0"/>
        <v>3.8124649774356218E-3</v>
      </c>
      <c r="J22" s="496">
        <f>SUM('POA2025'!CD117:CD124)</f>
        <v>0</v>
      </c>
      <c r="K22" s="497">
        <f t="shared" si="1"/>
        <v>0</v>
      </c>
      <c r="L22" s="496">
        <f>SUM('POA2025'!CE117:CE124)</f>
        <v>0</v>
      </c>
      <c r="M22" s="497" t="e">
        <f t="shared" si="2"/>
        <v>#DIV/0!</v>
      </c>
      <c r="N22" s="472"/>
      <c r="O22" s="473"/>
      <c r="P22" s="340"/>
    </row>
    <row r="23" spans="2:23" ht="27" customHeight="1" x14ac:dyDescent="0.35">
      <c r="B23" s="603"/>
      <c r="C23" s="605" t="s">
        <v>276</v>
      </c>
      <c r="D23" s="476" t="s">
        <v>894</v>
      </c>
      <c r="E23" s="477">
        <f>SUM('POA2025'!BB125:BB135)</f>
        <v>3954.88</v>
      </c>
      <c r="F23" s="477">
        <f>SUM('POA2025'!BC125:BC135)</f>
        <v>12743.42</v>
      </c>
      <c r="G23" s="478">
        <f>SUM('POA2025'!BD125:BD135)</f>
        <v>1896.79</v>
      </c>
      <c r="H23" s="479">
        <f>SUM('POA2025'!BK125:BK135)</f>
        <v>14801.510000000002</v>
      </c>
      <c r="I23" s="480">
        <f t="shared" si="0"/>
        <v>6.5433950009465601E-3</v>
      </c>
      <c r="J23" s="479">
        <f>SUM('POA2025'!CD125:CD135)</f>
        <v>1214.76</v>
      </c>
      <c r="K23" s="475">
        <f t="shared" si="1"/>
        <v>8.2070005019758113E-2</v>
      </c>
      <c r="L23" s="479">
        <f>SUM('POA2025'!CE125:CE135)</f>
        <v>1214.76</v>
      </c>
      <c r="M23" s="475">
        <f t="shared" si="2"/>
        <v>1</v>
      </c>
      <c r="N23" s="481">
        <f>SUM('POA2025'!BM125:BM135)</f>
        <v>1180.67</v>
      </c>
      <c r="O23" s="482"/>
      <c r="P23" s="340"/>
    </row>
    <row r="24" spans="2:23" ht="27" customHeight="1" x14ac:dyDescent="0.35">
      <c r="B24" s="603"/>
      <c r="C24" s="605"/>
      <c r="D24" s="476" t="s">
        <v>896</v>
      </c>
      <c r="E24" s="477">
        <f>SUM('POA2025'!BB152:BB156)</f>
        <v>451343.76</v>
      </c>
      <c r="F24" s="477">
        <f>SUM('POA2025'!BC152:BC156)</f>
        <v>25572.86</v>
      </c>
      <c r="G24" s="478">
        <f>SUM('POA2025'!BD152:BD156)</f>
        <v>96281.540000000023</v>
      </c>
      <c r="H24" s="479">
        <f>SUM('POA2025'!BK152:BK156)</f>
        <v>380635.08</v>
      </c>
      <c r="I24" s="480">
        <f t="shared" si="0"/>
        <v>0.1682697021896343</v>
      </c>
      <c r="J24" s="479">
        <f>SUM('POA2025'!CD152:CD156)</f>
        <v>377658.04000000004</v>
      </c>
      <c r="K24" s="475">
        <f t="shared" si="1"/>
        <v>0.99217875556819413</v>
      </c>
      <c r="L24" s="479">
        <f>SUM('POA2025'!CE152:CE156)</f>
        <v>342562.22</v>
      </c>
      <c r="M24" s="475">
        <f t="shared" si="2"/>
        <v>0.90706984551421155</v>
      </c>
      <c r="N24" s="481">
        <f>SUM('POA2025'!BM152:BM156)</f>
        <v>70706.740000000005</v>
      </c>
      <c r="O24" s="482"/>
      <c r="P24" s="340"/>
    </row>
    <row r="25" spans="2:23" ht="27" customHeight="1" x14ac:dyDescent="0.35">
      <c r="B25" s="603"/>
      <c r="C25" s="605"/>
      <c r="D25" s="476" t="s">
        <v>895</v>
      </c>
      <c r="E25" s="477">
        <f>SUM('POA2025'!BB136:BB151)</f>
        <v>74941.460000000006</v>
      </c>
      <c r="F25" s="477">
        <f>SUM('POA2025'!BC136:BC151)</f>
        <v>82351.81</v>
      </c>
      <c r="G25" s="478">
        <f>SUM('POA2025'!BD136:BD151)</f>
        <v>70087.180000000008</v>
      </c>
      <c r="H25" s="479">
        <f>SUM('POA2025'!BK136:BK151)</f>
        <v>87206.09</v>
      </c>
      <c r="I25" s="480">
        <f t="shared" si="0"/>
        <v>3.8551735151217389E-2</v>
      </c>
      <c r="J25" s="479">
        <f>SUM('POA2025'!CD136:CD151)</f>
        <v>700.08</v>
      </c>
      <c r="K25" s="475">
        <f t="shared" si="1"/>
        <v>8.0278797042729472E-3</v>
      </c>
      <c r="L25" s="479">
        <f>SUM('POA2025'!CE136:CE151)</f>
        <v>700.08</v>
      </c>
      <c r="M25" s="475">
        <f t="shared" si="2"/>
        <v>1</v>
      </c>
      <c r="N25" s="481">
        <f>SUM('POA2025'!BM136:BM151)</f>
        <v>152939.1</v>
      </c>
      <c r="O25" s="482"/>
      <c r="P25" s="340"/>
    </row>
    <row r="26" spans="2:23" ht="49.95" customHeight="1" thickBot="1" x14ac:dyDescent="0.4">
      <c r="B26" s="603"/>
      <c r="C26" s="606"/>
      <c r="D26" s="498" t="s">
        <v>908</v>
      </c>
      <c r="E26" s="486">
        <f>SUM('POA2025'!BB157)</f>
        <v>212612.53</v>
      </c>
      <c r="F26" s="486">
        <f>SUM('POA2025'!BC157)</f>
        <v>172517.16</v>
      </c>
      <c r="G26" s="487">
        <f>SUM('POA2025'!BD157)</f>
        <v>0</v>
      </c>
      <c r="H26" s="488">
        <f>SUM('POA2025'!BK157)</f>
        <v>385129.69</v>
      </c>
      <c r="I26" s="489">
        <f t="shared" si="0"/>
        <v>0.17025666220960553</v>
      </c>
      <c r="J26" s="499">
        <f>SUM('POA2025'!CD157)</f>
        <v>0</v>
      </c>
      <c r="K26" s="500">
        <f t="shared" si="1"/>
        <v>0</v>
      </c>
      <c r="L26" s="499">
        <f>SUM('POA2025'!CE157)</f>
        <v>0</v>
      </c>
      <c r="M26" s="500" t="e">
        <f t="shared" si="2"/>
        <v>#DIV/0!</v>
      </c>
      <c r="N26" s="490"/>
      <c r="O26" s="491"/>
      <c r="P26" s="340"/>
    </row>
    <row r="27" spans="2:23" ht="33.6" customHeight="1" thickBot="1" x14ac:dyDescent="0.4">
      <c r="B27" s="604"/>
      <c r="C27" s="600" t="s">
        <v>910</v>
      </c>
      <c r="D27" s="601"/>
      <c r="E27" s="511">
        <f>SUM(E22:E26)</f>
        <v>765523.63</v>
      </c>
      <c r="F27" s="511">
        <f t="shared" ref="F27:G27" si="4">SUM(F22:F26)</f>
        <v>293185.25</v>
      </c>
      <c r="G27" s="512">
        <f t="shared" si="4"/>
        <v>182312.51</v>
      </c>
      <c r="H27" s="513">
        <f>SUM(H22:H26)</f>
        <v>876396.37000000011</v>
      </c>
      <c r="I27" s="514">
        <f t="shared" si="0"/>
        <v>0.38743395952883941</v>
      </c>
      <c r="J27" s="518">
        <f>SUM(J22:J26)</f>
        <v>379572.88000000006</v>
      </c>
      <c r="K27" s="517">
        <f>((J27*100%)/H27)</f>
        <v>0.43310640366983721</v>
      </c>
      <c r="L27" s="518">
        <f>SUM(L22:L26)</f>
        <v>344477.06</v>
      </c>
      <c r="M27" s="517">
        <f>((L27*100%)/H27)</f>
        <v>0.39306080192915444</v>
      </c>
      <c r="N27" s="513">
        <f>SUM(N22:N26)</f>
        <v>224826.51</v>
      </c>
      <c r="O27" s="515">
        <f>SUM(O22:O26)</f>
        <v>0</v>
      </c>
      <c r="P27" s="340"/>
    </row>
    <row r="28" spans="2:23" ht="36" customHeight="1" thickBot="1" x14ac:dyDescent="0.4">
      <c r="B28" s="599" t="s">
        <v>979</v>
      </c>
      <c r="C28" s="599"/>
      <c r="D28" s="599"/>
      <c r="E28" s="519">
        <f>+E21+E27</f>
        <v>2251421.2233333336</v>
      </c>
      <c r="F28" s="519">
        <f>+F21+F27</f>
        <v>363655.58999999997</v>
      </c>
      <c r="G28" s="520">
        <f t="shared" ref="G28" si="5">+G21+G27</f>
        <v>334521.58</v>
      </c>
      <c r="H28" s="521">
        <f>+H21+H27</f>
        <v>2262053.5666666664</v>
      </c>
      <c r="I28" s="522">
        <f>+I21+I27</f>
        <v>1</v>
      </c>
      <c r="J28" s="523">
        <f>+J21+J27</f>
        <v>1242386.6500000001</v>
      </c>
      <c r="K28" s="430">
        <f>((J28*100%)/H28)</f>
        <v>0.54922954447571526</v>
      </c>
      <c r="L28" s="523">
        <f>+L21+L27</f>
        <v>1205744.6300000001</v>
      </c>
      <c r="M28" s="430">
        <f>((L28*100%)/H28)</f>
        <v>0.53303098024189155</v>
      </c>
      <c r="N28" s="521">
        <f>+N21+N27</f>
        <v>267264.06333333335</v>
      </c>
      <c r="O28" s="521">
        <f>+O21+O27</f>
        <v>285</v>
      </c>
      <c r="P28" s="340"/>
    </row>
    <row r="29" spans="2:23" x14ac:dyDescent="0.35">
      <c r="O29" s="340"/>
      <c r="P29" s="340"/>
    </row>
    <row r="30" spans="2:23" x14ac:dyDescent="0.35">
      <c r="E30" s="111"/>
      <c r="F30" s="111"/>
      <c r="G30" s="111"/>
      <c r="H30" s="111"/>
      <c r="O30" s="340"/>
      <c r="P30" s="340"/>
    </row>
    <row r="31" spans="2:23" ht="42.6" customHeight="1" x14ac:dyDescent="0.35">
      <c r="B31" s="424"/>
      <c r="I31" s="455" t="s">
        <v>898</v>
      </c>
      <c r="J31" s="456" t="s">
        <v>8</v>
      </c>
      <c r="K31" s="455" t="s">
        <v>393</v>
      </c>
      <c r="L31" s="457" t="s">
        <v>328</v>
      </c>
      <c r="M31" s="455" t="s">
        <v>978</v>
      </c>
      <c r="N31" s="455" t="s">
        <v>328</v>
      </c>
      <c r="O31" s="455" t="s">
        <v>509</v>
      </c>
      <c r="P31" s="455" t="s">
        <v>328</v>
      </c>
      <c r="T31" s="432" t="s">
        <v>898</v>
      </c>
      <c r="U31" s="432" t="s">
        <v>8</v>
      </c>
      <c r="V31" s="432" t="s">
        <v>509</v>
      </c>
      <c r="W31" s="432" t="s">
        <v>328</v>
      </c>
    </row>
    <row r="32" spans="2:23" ht="41.4" customHeight="1" x14ac:dyDescent="0.35">
      <c r="B32" s="609"/>
      <c r="I32" s="610" t="s">
        <v>900</v>
      </c>
      <c r="J32" s="451" t="s">
        <v>38</v>
      </c>
      <c r="K32" s="119">
        <f>+H13</f>
        <v>1023387.2</v>
      </c>
      <c r="L32" s="452">
        <f>(K32*100%)/K$38</f>
        <v>0.45241510416928382</v>
      </c>
      <c r="M32" s="453">
        <f>+J13</f>
        <v>652205.82999999996</v>
      </c>
      <c r="N32" s="452">
        <f>(M32*100%)/K$32</f>
        <v>0.63730114076079902</v>
      </c>
      <c r="O32" s="453">
        <f>+L13</f>
        <v>652205.82999999996</v>
      </c>
      <c r="P32" s="452">
        <f>(O32*100%)/K$32</f>
        <v>0.63730114076079902</v>
      </c>
      <c r="T32" s="432" t="s">
        <v>900</v>
      </c>
      <c r="U32" s="432" t="s">
        <v>38</v>
      </c>
      <c r="V32" s="784">
        <v>652205.82999999996</v>
      </c>
      <c r="W32" s="786">
        <v>0.63730114076079902</v>
      </c>
    </row>
    <row r="33" spans="2:23" ht="41.4" customHeight="1" x14ac:dyDescent="0.35">
      <c r="B33" s="609"/>
      <c r="I33" s="611"/>
      <c r="J33" s="451" t="s">
        <v>90</v>
      </c>
      <c r="K33" s="119">
        <f>SUM(H14:H20)</f>
        <v>362269.99666666664</v>
      </c>
      <c r="L33" s="452">
        <f>(K33*100%)/K$38</f>
        <v>0.16015093630187685</v>
      </c>
      <c r="M33" s="119">
        <f>SUM(J14:J20)</f>
        <v>210607.93999999997</v>
      </c>
      <c r="N33" s="452">
        <f>(M33*100%)/K$33</f>
        <v>0.58135628657590821</v>
      </c>
      <c r="O33" s="119">
        <f>SUM(L14:L20)</f>
        <v>209061.74</v>
      </c>
      <c r="P33" s="452">
        <f>(O33*100%)/K$33</f>
        <v>0.57708819919846344</v>
      </c>
      <c r="T33" s="432"/>
      <c r="U33" s="432" t="s">
        <v>90</v>
      </c>
      <c r="V33" s="784">
        <v>209061.74</v>
      </c>
      <c r="W33" s="786">
        <v>0.57708819919846344</v>
      </c>
    </row>
    <row r="34" spans="2:23" s="460" customFormat="1" ht="31.95" customHeight="1" x14ac:dyDescent="0.35">
      <c r="B34" s="459"/>
      <c r="C34" s="461"/>
      <c r="I34" s="454"/>
      <c r="J34" s="458" t="s">
        <v>324</v>
      </c>
      <c r="K34" s="462">
        <f>SUM(K32:K33)</f>
        <v>1385657.1966666665</v>
      </c>
      <c r="L34" s="463">
        <f>SUM(L32:L33)</f>
        <v>0.6125660404711607</v>
      </c>
      <c r="M34" s="462">
        <f>SUM(M32:M33)</f>
        <v>862813.7699999999</v>
      </c>
      <c r="N34" s="463">
        <f>((M34*100%)/K34)</f>
        <v>0.62267476550158474</v>
      </c>
      <c r="O34" s="462">
        <f>SUM(O32:O33)</f>
        <v>861267.57</v>
      </c>
      <c r="P34" s="463">
        <f>((O34*100%)/K34)</f>
        <v>0.62155890509706369</v>
      </c>
      <c r="T34" s="783"/>
      <c r="U34" s="432" t="s">
        <v>248</v>
      </c>
      <c r="V34" s="784">
        <v>0</v>
      </c>
      <c r="W34" s="786">
        <v>0</v>
      </c>
    </row>
    <row r="35" spans="2:23" ht="68.400000000000006" customHeight="1" x14ac:dyDescent="0.35">
      <c r="B35" s="609"/>
      <c r="I35" s="610" t="s">
        <v>899</v>
      </c>
      <c r="J35" s="451" t="s">
        <v>248</v>
      </c>
      <c r="K35" s="119">
        <f>+H22</f>
        <v>8624</v>
      </c>
      <c r="L35" s="452">
        <f>(K35*100%)/K$38</f>
        <v>3.8124649774356218E-3</v>
      </c>
      <c r="M35" s="119">
        <f>+J22</f>
        <v>0</v>
      </c>
      <c r="N35" s="452">
        <f>(M35*100%)/K$35</f>
        <v>0</v>
      </c>
      <c r="O35" s="782">
        <f>+L22</f>
        <v>0</v>
      </c>
      <c r="P35" s="452">
        <f>(O35*100%)/K$35</f>
        <v>0</v>
      </c>
      <c r="T35" s="432" t="s">
        <v>899</v>
      </c>
      <c r="U35" s="432" t="s">
        <v>276</v>
      </c>
      <c r="V35" s="784">
        <v>344477.06</v>
      </c>
      <c r="W35" s="786">
        <v>0.39696707559379879</v>
      </c>
    </row>
    <row r="36" spans="2:23" ht="42.6" customHeight="1" x14ac:dyDescent="0.35">
      <c r="B36" s="609"/>
      <c r="I36" s="611"/>
      <c r="J36" s="451" t="s">
        <v>276</v>
      </c>
      <c r="K36" s="119">
        <f>SUM(H23:H26)</f>
        <v>867772.37000000011</v>
      </c>
      <c r="L36" s="452">
        <f>(K36*100%)/K$38</f>
        <v>0.38362149455140382</v>
      </c>
      <c r="M36" s="119">
        <f>SUM(J23:J26)</f>
        <v>379572.88000000006</v>
      </c>
      <c r="N36" s="452">
        <f>(M36*100%)/K$36</f>
        <v>0.43741065413271918</v>
      </c>
      <c r="O36" s="119">
        <f>SUM(L23:L26)</f>
        <v>344477.06</v>
      </c>
      <c r="P36" s="452">
        <f>(O36*100%)/K$36</f>
        <v>0.39696707559379879</v>
      </c>
      <c r="T36" s="432"/>
    </row>
    <row r="37" spans="2:23" s="460" customFormat="1" ht="33" customHeight="1" x14ac:dyDescent="0.35">
      <c r="B37" s="459"/>
      <c r="C37" s="461"/>
      <c r="I37" s="629" t="s">
        <v>324</v>
      </c>
      <c r="J37" s="630"/>
      <c r="K37" s="462">
        <f>SUM(K35:K36)</f>
        <v>876396.37000000011</v>
      </c>
      <c r="L37" s="463">
        <f>SUM(L35:L36)</f>
        <v>0.38743395952883947</v>
      </c>
      <c r="M37" s="462">
        <f>SUM(M35:M36)</f>
        <v>379572.88000000006</v>
      </c>
      <c r="N37" s="463">
        <f>((M37*100%)/K37)</f>
        <v>0.43310640366983721</v>
      </c>
      <c r="O37" s="462">
        <f>SUM(O35:O36)</f>
        <v>344477.06</v>
      </c>
      <c r="P37" s="463">
        <f>((O37*100%)/K37)</f>
        <v>0.39306080192915444</v>
      </c>
      <c r="T37" s="783" t="s">
        <v>324</v>
      </c>
      <c r="U37" s="783"/>
      <c r="V37" s="785">
        <v>344477.06</v>
      </c>
      <c r="W37" s="787">
        <v>0.39306080192915444</v>
      </c>
    </row>
    <row r="38" spans="2:23" ht="33" customHeight="1" x14ac:dyDescent="0.35">
      <c r="I38" s="631" t="s">
        <v>911</v>
      </c>
      <c r="J38" s="632"/>
      <c r="K38" s="464">
        <f>+K32+K33+K35+K36</f>
        <v>2262053.5666666664</v>
      </c>
      <c r="L38" s="465">
        <f>+L34+L37</f>
        <v>1.0000000000000002</v>
      </c>
      <c r="M38" s="464">
        <f>+M32+M33+M35+M36</f>
        <v>1242386.6499999999</v>
      </c>
      <c r="N38" s="465">
        <f>((M38*100%)/K38)</f>
        <v>0.54922954447571515</v>
      </c>
      <c r="O38" s="464">
        <f>+O32+O33+O35+O36</f>
        <v>1205744.6299999999</v>
      </c>
      <c r="P38" s="465">
        <f>((O38*100%)/K38)</f>
        <v>0.53303098024189144</v>
      </c>
      <c r="T38" s="432" t="s">
        <v>911</v>
      </c>
      <c r="U38" s="432"/>
      <c r="V38" s="784">
        <v>1205744.6299999999</v>
      </c>
      <c r="W38" s="786">
        <v>0.53303098024189144</v>
      </c>
    </row>
    <row r="39" spans="2:23" x14ac:dyDescent="0.35">
      <c r="E39" s="86">
        <f>+E28-E30</f>
        <v>2251421.2233333336</v>
      </c>
      <c r="F39" s="86"/>
      <c r="G39" s="86"/>
      <c r="H39" s="86"/>
      <c r="L39" s="86"/>
    </row>
    <row r="40" spans="2:23" ht="33.6" hidden="1" customHeight="1" x14ac:dyDescent="0.35">
      <c r="H40" s="623" t="s">
        <v>7</v>
      </c>
      <c r="I40" s="623"/>
      <c r="J40" s="623" t="s">
        <v>458</v>
      </c>
      <c r="K40" s="622" t="s">
        <v>463</v>
      </c>
      <c r="L40" s="593" t="s">
        <v>444</v>
      </c>
      <c r="M40" s="593"/>
      <c r="N40" s="595" t="s">
        <v>536</v>
      </c>
      <c r="O40" s="595"/>
      <c r="P40" s="612" t="s">
        <v>537</v>
      </c>
      <c r="Q40" s="612"/>
      <c r="R40" s="593" t="s">
        <v>538</v>
      </c>
      <c r="S40" s="593"/>
      <c r="T40" s="594">
        <v>42278</v>
      </c>
      <c r="U40" s="595"/>
    </row>
    <row r="41" spans="2:23" ht="34.200000000000003" hidden="1" customHeight="1" x14ac:dyDescent="0.35">
      <c r="H41" s="623"/>
      <c r="I41" s="623"/>
      <c r="J41" s="623"/>
      <c r="K41" s="622"/>
      <c r="L41" s="445" t="s">
        <v>464</v>
      </c>
      <c r="M41" s="445" t="s">
        <v>463</v>
      </c>
      <c r="N41" s="446" t="s">
        <v>464</v>
      </c>
      <c r="O41" s="446" t="s">
        <v>463</v>
      </c>
      <c r="P41" s="447" t="s">
        <v>464</v>
      </c>
      <c r="Q41" s="447" t="s">
        <v>463</v>
      </c>
      <c r="R41" s="445" t="s">
        <v>464</v>
      </c>
      <c r="S41" s="445" t="s">
        <v>463</v>
      </c>
      <c r="T41" s="446" t="s">
        <v>464</v>
      </c>
      <c r="U41" s="446" t="s">
        <v>463</v>
      </c>
    </row>
    <row r="42" spans="2:23" ht="46.2" hidden="1" customHeight="1" x14ac:dyDescent="0.35">
      <c r="H42" s="628" t="str">
        <f>+I32</f>
        <v>DIRECCIÓN ADMINISTRATIVA FINANCIERA</v>
      </c>
      <c r="I42" s="628"/>
      <c r="J42" s="448">
        <f>+H21</f>
        <v>1385657.1966666665</v>
      </c>
      <c r="K42" s="449">
        <f>((J42*100%)/J44)</f>
        <v>0.6125660404711607</v>
      </c>
      <c r="L42" s="437">
        <v>406436.57</v>
      </c>
      <c r="M42" s="438">
        <f>((L42*100%)/J42)</f>
        <v>0.29331682538633858</v>
      </c>
      <c r="N42" s="122">
        <v>461334.49</v>
      </c>
      <c r="O42" s="441">
        <f>((N42*100%)/J42)</f>
        <v>0.33293551327830945</v>
      </c>
      <c r="P42" s="443">
        <v>565551.66</v>
      </c>
      <c r="Q42" s="436">
        <f>((P42*100%)/J42)</f>
        <v>0.40814687886765189</v>
      </c>
      <c r="R42" s="437">
        <v>620292.55000000005</v>
      </c>
      <c r="S42" s="438">
        <f>((R42*100%)/J42)</f>
        <v>0.44765224147225896</v>
      </c>
      <c r="T42" s="122">
        <v>627646.07999999996</v>
      </c>
      <c r="U42" s="441">
        <f>((T42*100%)/J42)</f>
        <v>0.45295913124101961</v>
      </c>
    </row>
    <row r="43" spans="2:23" ht="46.2" hidden="1" customHeight="1" x14ac:dyDescent="0.35">
      <c r="H43" s="628" t="str">
        <f>+I35</f>
        <v>SUB JEFATURA (GESTIÓN GENERAL OPERATIVA)</v>
      </c>
      <c r="I43" s="628"/>
      <c r="J43" s="448">
        <f>+H27</f>
        <v>876396.37000000011</v>
      </c>
      <c r="K43" s="449">
        <f>((J43*100%)/J44)</f>
        <v>0.38743395952883941</v>
      </c>
      <c r="L43" s="437">
        <v>217094.84</v>
      </c>
      <c r="M43" s="438">
        <f>((L43*100%)/J43)</f>
        <v>0.24771307530632511</v>
      </c>
      <c r="N43" s="122">
        <f>SUM(J22:J25)</f>
        <v>379572.88000000006</v>
      </c>
      <c r="O43" s="441">
        <f>((N43*100%)/J43)</f>
        <v>0.43310640366983721</v>
      </c>
      <c r="P43" s="443">
        <v>344477.06</v>
      </c>
      <c r="Q43" s="436">
        <f>((P43*100%)/J43)</f>
        <v>0.39306080192915444</v>
      </c>
      <c r="R43" s="437">
        <v>344477.06</v>
      </c>
      <c r="S43" s="438">
        <f>((R43*100%)/J43)</f>
        <v>0.39306080192915444</v>
      </c>
      <c r="T43" s="122">
        <v>344477.06</v>
      </c>
      <c r="U43" s="441">
        <f>((T43*100%)/J43)</f>
        <v>0.39306080192915444</v>
      </c>
    </row>
    <row r="44" spans="2:23" ht="46.2" hidden="1" customHeight="1" x14ac:dyDescent="0.35">
      <c r="H44" s="628" t="s">
        <v>324</v>
      </c>
      <c r="I44" s="628"/>
      <c r="J44" s="450">
        <f>+J42+J43</f>
        <v>2262053.5666666664</v>
      </c>
      <c r="K44" s="449">
        <f>+K42+K43</f>
        <v>1</v>
      </c>
      <c r="L44" s="439">
        <f>SUM(L42:L43)</f>
        <v>623531.41</v>
      </c>
      <c r="M44" s="440">
        <f>((L44*100%)/J44)</f>
        <v>0.27564838392347535</v>
      </c>
      <c r="N44" s="442">
        <f>SUM(N42:N43)</f>
        <v>840907.37000000011</v>
      </c>
      <c r="O44" s="440">
        <f>((N44*100%)/J44)</f>
        <v>0.37174511797222848</v>
      </c>
      <c r="P44" s="444">
        <f>SUM(P42:P43)</f>
        <v>910028.72</v>
      </c>
      <c r="Q44" s="440">
        <f>((P44*100%)/J44)</f>
        <v>0.40230202034561313</v>
      </c>
      <c r="R44" s="439">
        <f>SUM(R42:R43)</f>
        <v>964769.6100000001</v>
      </c>
      <c r="S44" s="440">
        <f>((R44*100%)/J44)</f>
        <v>0.42650166389369482</v>
      </c>
      <c r="T44" s="442">
        <f>SUM(T42:T43)</f>
        <v>972123.1399999999</v>
      </c>
      <c r="U44" s="440">
        <f>((T44*100%)/J44)</f>
        <v>0.42975248434656138</v>
      </c>
    </row>
    <row r="45" spans="2:23" ht="46.2" customHeight="1" x14ac:dyDescent="0.35">
      <c r="E45" s="86"/>
      <c r="F45" s="86"/>
      <c r="G45" s="86"/>
      <c r="H45" s="86"/>
      <c r="M45" s="87"/>
    </row>
    <row r="46" spans="2:23" ht="33.6" x14ac:dyDescent="0.35">
      <c r="H46" s="627" t="s">
        <v>521</v>
      </c>
      <c r="I46" s="627"/>
      <c r="J46" s="627"/>
      <c r="K46" s="627"/>
      <c r="L46" s="627"/>
      <c r="M46" s="627"/>
    </row>
    <row r="47" spans="2:23" ht="28.8" x14ac:dyDescent="0.55000000000000004">
      <c r="H47" s="626">
        <v>45930</v>
      </c>
      <c r="I47" s="626"/>
      <c r="J47" s="626"/>
      <c r="K47" s="626"/>
      <c r="L47" s="626"/>
      <c r="M47" s="626"/>
    </row>
    <row r="48" spans="2:23" x14ac:dyDescent="0.35">
      <c r="D48" s="115"/>
      <c r="F48" s="115"/>
      <c r="G48" s="115"/>
      <c r="H48" s="428"/>
      <c r="I48" s="428"/>
      <c r="J48" s="428"/>
      <c r="K48" s="428"/>
      <c r="L48" s="428"/>
      <c r="M48" s="428"/>
      <c r="N48" s="115"/>
    </row>
    <row r="49" spans="2:13" ht="47.4" customHeight="1" x14ac:dyDescent="0.35">
      <c r="F49" s="425"/>
      <c r="G49" s="425"/>
      <c r="H49" s="431" t="s">
        <v>11</v>
      </c>
      <c r="I49" s="431" t="s">
        <v>522</v>
      </c>
      <c r="J49" s="431" t="s">
        <v>518</v>
      </c>
      <c r="K49" s="431" t="s">
        <v>328</v>
      </c>
      <c r="L49" s="431" t="s">
        <v>525</v>
      </c>
      <c r="M49" s="431" t="s">
        <v>328</v>
      </c>
    </row>
    <row r="50" spans="2:13" ht="47.4" customHeight="1" x14ac:dyDescent="0.35">
      <c r="F50" s="426"/>
      <c r="G50" s="426"/>
      <c r="H50" s="117">
        <v>1</v>
      </c>
      <c r="I50" s="118" t="s">
        <v>523</v>
      </c>
      <c r="J50" s="119">
        <v>1297713.47</v>
      </c>
      <c r="K50" s="120">
        <f>((J50*100%)/J52)</f>
        <v>0.57368821287464034</v>
      </c>
      <c r="L50" s="119">
        <v>1051327.8600000001</v>
      </c>
      <c r="M50" s="121">
        <f>((L50*100%)/J50)</f>
        <v>0.81013866643458676</v>
      </c>
    </row>
    <row r="51" spans="2:13" ht="47.4" customHeight="1" x14ac:dyDescent="0.35">
      <c r="F51" s="426"/>
      <c r="G51" s="426"/>
      <c r="H51" s="117">
        <v>3</v>
      </c>
      <c r="I51" s="118" t="s">
        <v>524</v>
      </c>
      <c r="J51" s="119">
        <v>964340.1</v>
      </c>
      <c r="K51" s="120">
        <f>((J51*100%)/J52)</f>
        <v>0.42631178712535972</v>
      </c>
      <c r="L51" s="119">
        <v>0</v>
      </c>
      <c r="M51" s="121">
        <f>((L51*100%)/J51)</f>
        <v>0</v>
      </c>
    </row>
    <row r="52" spans="2:13" s="432" customFormat="1" ht="47.4" customHeight="1" x14ac:dyDescent="0.3">
      <c r="B52" s="85"/>
      <c r="C52" s="85"/>
      <c r="F52" s="427"/>
      <c r="G52" s="427"/>
      <c r="H52" s="116"/>
      <c r="I52" s="433"/>
      <c r="J52" s="434">
        <f>SUM(J50:J51)</f>
        <v>2262053.5699999998</v>
      </c>
      <c r="K52" s="435">
        <f>SUM(K50:K51)</f>
        <v>1</v>
      </c>
      <c r="L52" s="434">
        <f>SUM(L50:L51)</f>
        <v>1051327.8600000001</v>
      </c>
      <c r="M52" s="433"/>
    </row>
    <row r="53" spans="2:13" x14ac:dyDescent="0.35">
      <c r="F53" s="340"/>
      <c r="G53" s="340"/>
    </row>
  </sheetData>
  <mergeCells count="35">
    <mergeCell ref="H47:M47"/>
    <mergeCell ref="H46:M46"/>
    <mergeCell ref="H44:I44"/>
    <mergeCell ref="I37:J37"/>
    <mergeCell ref="I38:J38"/>
    <mergeCell ref="H43:I43"/>
    <mergeCell ref="H42:I42"/>
    <mergeCell ref="H40:I41"/>
    <mergeCell ref="P40:Q40"/>
    <mergeCell ref="B9:M9"/>
    <mergeCell ref="H11:I11"/>
    <mergeCell ref="N11:O11"/>
    <mergeCell ref="B11:B12"/>
    <mergeCell ref="C11:C12"/>
    <mergeCell ref="D11:D12"/>
    <mergeCell ref="K40:K41"/>
    <mergeCell ref="J40:J41"/>
    <mergeCell ref="J11:K11"/>
    <mergeCell ref="L11:M11"/>
    <mergeCell ref="R40:S40"/>
    <mergeCell ref="T40:U40"/>
    <mergeCell ref="B8:M8"/>
    <mergeCell ref="L40:M40"/>
    <mergeCell ref="N40:O40"/>
    <mergeCell ref="B28:D28"/>
    <mergeCell ref="C27:D27"/>
    <mergeCell ref="B22:B27"/>
    <mergeCell ref="C14:C20"/>
    <mergeCell ref="C23:C26"/>
    <mergeCell ref="B13:B21"/>
    <mergeCell ref="C21:D21"/>
    <mergeCell ref="B32:B33"/>
    <mergeCell ref="B35:B36"/>
    <mergeCell ref="I32:I33"/>
    <mergeCell ref="I35:I36"/>
  </mergeCells>
  <phoneticPr fontId="20"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R168"/>
  <sheetViews>
    <sheetView zoomScale="40" zoomScaleNormal="40" workbookViewId="0">
      <pane xSplit="8592" ySplit="3636" topLeftCell="CD138" activePane="bottomLeft"/>
      <selection activeCell="A4" sqref="A4:A7"/>
      <selection pane="topRight" activeCell="CF1" sqref="CF1:CF1048576"/>
      <selection pane="bottomLeft" activeCell="BL157" sqref="BL157"/>
      <selection pane="bottomRight" activeCell="CE158" sqref="CE158"/>
    </sheetView>
  </sheetViews>
  <sheetFormatPr baseColWidth="10" defaultColWidth="11.44140625" defaultRowHeight="20.399999999999999" x14ac:dyDescent="0.35"/>
  <cols>
    <col min="1" max="1" width="11.109375" style="43" customWidth="1"/>
    <col min="2" max="2" width="12.109375" style="2" customWidth="1"/>
    <col min="3" max="3" width="12.109375" style="43" customWidth="1"/>
    <col min="4" max="4" width="13" style="2" customWidth="1"/>
    <col min="5" max="5" width="15.6640625" style="43" customWidth="1"/>
    <col min="6" max="6" width="19.33203125" style="44" customWidth="1"/>
    <col min="7" max="7" width="33" style="2" customWidth="1"/>
    <col min="8" max="8" width="33.33203125" style="2" hidden="1" customWidth="1"/>
    <col min="9" max="9" width="22.44140625" style="43" customWidth="1"/>
    <col min="10" max="10" width="8.6640625" style="44" hidden="1" customWidth="1"/>
    <col min="11" max="11" width="8.6640625" style="2" hidden="1" customWidth="1"/>
    <col min="12" max="12" width="8.6640625" style="43" hidden="1" customWidth="1"/>
    <col min="13" max="14" width="8.6640625" style="2" hidden="1" customWidth="1"/>
    <col min="15" max="17" width="8.6640625" style="3" hidden="1" customWidth="1"/>
    <col min="18" max="18" width="10.33203125" style="44" hidden="1" customWidth="1"/>
    <col min="19" max="20" width="19.44140625" style="43" hidden="1" customWidth="1"/>
    <col min="21" max="21" width="14.33203125" style="43" hidden="1" customWidth="1"/>
    <col min="22" max="22" width="19.33203125" style="43" hidden="1" customWidth="1"/>
    <col min="23" max="23" width="19.44140625" style="43" hidden="1" customWidth="1"/>
    <col min="24" max="24" width="25.88671875" style="43" hidden="1" customWidth="1"/>
    <col min="25" max="25" width="8" style="2" hidden="1" customWidth="1"/>
    <col min="26" max="26" width="30.44140625" style="46" hidden="1" customWidth="1"/>
    <col min="27" max="29" width="10.44140625" style="2" hidden="1" customWidth="1"/>
    <col min="30" max="30" width="11.109375" style="2" hidden="1" customWidth="1"/>
    <col min="31" max="34" width="11.109375" style="71" hidden="1" customWidth="1"/>
    <col min="35" max="35" width="28.6640625" style="71" hidden="1" customWidth="1"/>
    <col min="36" max="36" width="27.6640625" style="71" hidden="1" customWidth="1"/>
    <col min="37" max="37" width="22.6640625" style="83" hidden="1" customWidth="1"/>
    <col min="38" max="38" width="27.6640625" style="83" hidden="1" customWidth="1"/>
    <col min="39" max="39" width="26.6640625" style="83" hidden="1" customWidth="1"/>
    <col min="40" max="40" width="28.6640625" style="71" hidden="1" customWidth="1"/>
    <col min="41" max="41" width="27.6640625" style="71" hidden="1" customWidth="1"/>
    <col min="42" max="42" width="26.6640625" style="71" hidden="1" customWidth="1"/>
    <col min="43" max="43" width="28.6640625" style="71" hidden="1" customWidth="1"/>
    <col min="44" max="44" width="27.6640625" style="71" hidden="1" customWidth="1"/>
    <col min="45" max="45" width="26.6640625" style="71" hidden="1" customWidth="1"/>
    <col min="46" max="46" width="28.6640625" style="71" hidden="1" customWidth="1"/>
    <col min="47" max="47" width="27.6640625" style="71" hidden="1" customWidth="1"/>
    <col min="48" max="48" width="26.6640625" style="71" hidden="1" customWidth="1"/>
    <col min="49" max="49" width="28.6640625" style="71" hidden="1" customWidth="1"/>
    <col min="50" max="50" width="27.6640625" style="71" hidden="1" customWidth="1"/>
    <col min="51" max="51" width="26.6640625" style="71" hidden="1" customWidth="1"/>
    <col min="52" max="52" width="12.6640625" style="71" hidden="1" customWidth="1"/>
    <col min="53" max="53" width="21.33203125" style="71" hidden="1" customWidth="1"/>
    <col min="54" max="54" width="32.33203125" style="71" hidden="1" customWidth="1"/>
    <col min="55" max="55" width="28.88671875" style="71" hidden="1" customWidth="1"/>
    <col min="56" max="56" width="27.6640625" style="71" hidden="1" customWidth="1"/>
    <col min="57" max="57" width="5.88671875" style="71" hidden="1" customWidth="1"/>
    <col min="58" max="58" width="11.44140625" style="71" hidden="1" customWidth="1"/>
    <col min="59" max="59" width="19.5546875" style="71" hidden="1" customWidth="1"/>
    <col min="60" max="60" width="26.33203125" style="71" hidden="1" customWidth="1"/>
    <col min="61" max="61" width="17.88671875" style="71" hidden="1" customWidth="1"/>
    <col min="62" max="62" width="11.109375" style="71" hidden="1" customWidth="1"/>
    <col min="63" max="63" width="21.88671875" style="71" customWidth="1"/>
    <col min="64" max="64" width="11.5546875" style="2" customWidth="1"/>
    <col min="65" max="66" width="19.88671875" style="132" customWidth="1"/>
    <col min="67" max="67" width="22.33203125" style="2" customWidth="1"/>
    <col min="68" max="68" width="23.88671875" style="71" customWidth="1"/>
    <col min="69" max="69" width="11" style="71" customWidth="1"/>
    <col min="70" max="74" width="11" style="2" customWidth="1"/>
    <col min="75" max="75" width="18.6640625" style="102" customWidth="1"/>
    <col min="76" max="76" width="30.88671875" style="105" customWidth="1"/>
    <col min="77" max="77" width="15.6640625" style="105" hidden="1" customWidth="1"/>
    <col min="78" max="78" width="14.6640625" style="105" hidden="1" customWidth="1"/>
    <col min="79" max="79" width="12.109375" style="105" hidden="1" customWidth="1"/>
    <col min="80" max="80" width="15.33203125" style="105" hidden="1" customWidth="1"/>
    <col min="81" max="81" width="15.6640625" style="103" customWidth="1"/>
    <col min="82" max="82" width="27.6640625" style="105" customWidth="1"/>
    <col min="83" max="84" width="24.88671875" style="71" customWidth="1"/>
    <col min="85" max="85" width="21.109375" style="417" customWidth="1"/>
    <col min="86" max="86" width="20.6640625" style="417" customWidth="1"/>
    <col min="87" max="87" width="29.33203125" style="418" customWidth="1"/>
    <col min="88" max="88" width="43" style="418" customWidth="1"/>
    <col min="89" max="90" width="24.33203125" style="3" customWidth="1"/>
    <col min="91" max="91" width="22" style="60" customWidth="1"/>
    <col min="92" max="94" width="18.5546875" style="60" customWidth="1"/>
    <col min="95" max="95" width="28.6640625" style="60" customWidth="1"/>
    <col min="96" max="96" width="32.5546875" style="60" hidden="1" customWidth="1"/>
    <col min="97" max="308" width="11.44140625" style="2"/>
    <col min="309" max="309" width="8" style="2" customWidth="1"/>
    <col min="310" max="310" width="8.6640625" style="2" customWidth="1"/>
    <col min="311" max="311" width="19.44140625" style="2" customWidth="1"/>
    <col min="312" max="312" width="101.6640625" style="2" customWidth="1"/>
    <col min="313" max="313" width="16.6640625" style="2" customWidth="1"/>
    <col min="314" max="314" width="16" style="2" customWidth="1"/>
    <col min="315" max="315" width="8.5546875" style="2" customWidth="1"/>
    <col min="316" max="317" width="8.6640625" style="2" customWidth="1"/>
    <col min="318" max="318" width="15.33203125" style="2" customWidth="1"/>
    <col min="319" max="319" width="22" style="2" customWidth="1"/>
    <col min="320" max="321" width="13.33203125" style="2" customWidth="1"/>
    <col min="322" max="322" width="52.6640625" style="2" customWidth="1"/>
    <col min="323" max="323" width="24" style="2" customWidth="1"/>
    <col min="324" max="324" width="29.33203125" style="2" customWidth="1"/>
    <col min="325" max="325" width="9.33203125" style="2" customWidth="1"/>
    <col min="326" max="326" width="27.33203125" style="2" customWidth="1"/>
    <col min="327" max="327" width="15.44140625" style="2" customWidth="1"/>
    <col min="328" max="328" width="16.33203125" style="2" customWidth="1"/>
    <col min="329" max="329" width="15.44140625" style="2" customWidth="1"/>
    <col min="330" max="330" width="14.33203125" style="2" customWidth="1"/>
    <col min="331" max="564" width="11.44140625" style="2"/>
    <col min="565" max="565" width="8" style="2" customWidth="1"/>
    <col min="566" max="566" width="8.6640625" style="2" customWidth="1"/>
    <col min="567" max="567" width="19.44140625" style="2" customWidth="1"/>
    <col min="568" max="568" width="101.6640625" style="2" customWidth="1"/>
    <col min="569" max="569" width="16.6640625" style="2" customWidth="1"/>
    <col min="570" max="570" width="16" style="2" customWidth="1"/>
    <col min="571" max="571" width="8.5546875" style="2" customWidth="1"/>
    <col min="572" max="573" width="8.6640625" style="2" customWidth="1"/>
    <col min="574" max="574" width="15.33203125" style="2" customWidth="1"/>
    <col min="575" max="575" width="22" style="2" customWidth="1"/>
    <col min="576" max="577" width="13.33203125" style="2" customWidth="1"/>
    <col min="578" max="578" width="52.6640625" style="2" customWidth="1"/>
    <col min="579" max="579" width="24" style="2" customWidth="1"/>
    <col min="580" max="580" width="29.33203125" style="2" customWidth="1"/>
    <col min="581" max="581" width="9.33203125" style="2" customWidth="1"/>
    <col min="582" max="582" width="27.33203125" style="2" customWidth="1"/>
    <col min="583" max="583" width="15.44140625" style="2" customWidth="1"/>
    <col min="584" max="584" width="16.33203125" style="2" customWidth="1"/>
    <col min="585" max="585" width="15.44140625" style="2" customWidth="1"/>
    <col min="586" max="586" width="14.33203125" style="2" customWidth="1"/>
    <col min="587" max="820" width="11.44140625" style="2"/>
    <col min="821" max="821" width="8" style="2" customWidth="1"/>
    <col min="822" max="822" width="8.6640625" style="2" customWidth="1"/>
    <col min="823" max="823" width="19.44140625" style="2" customWidth="1"/>
    <col min="824" max="824" width="101.6640625" style="2" customWidth="1"/>
    <col min="825" max="825" width="16.6640625" style="2" customWidth="1"/>
    <col min="826" max="826" width="16" style="2" customWidth="1"/>
    <col min="827" max="827" width="8.5546875" style="2" customWidth="1"/>
    <col min="828" max="829" width="8.6640625" style="2" customWidth="1"/>
    <col min="830" max="830" width="15.33203125" style="2" customWidth="1"/>
    <col min="831" max="831" width="22" style="2" customWidth="1"/>
    <col min="832" max="833" width="13.33203125" style="2" customWidth="1"/>
    <col min="834" max="834" width="52.6640625" style="2" customWidth="1"/>
    <col min="835" max="835" width="24" style="2" customWidth="1"/>
    <col min="836" max="836" width="29.33203125" style="2" customWidth="1"/>
    <col min="837" max="837" width="9.33203125" style="2" customWidth="1"/>
    <col min="838" max="838" width="27.33203125" style="2" customWidth="1"/>
    <col min="839" max="839" width="15.44140625" style="2" customWidth="1"/>
    <col min="840" max="840" width="16.33203125" style="2" customWidth="1"/>
    <col min="841" max="841" width="15.44140625" style="2" customWidth="1"/>
    <col min="842" max="842" width="14.33203125" style="2" customWidth="1"/>
    <col min="843" max="1076" width="11.44140625" style="2"/>
    <col min="1077" max="1077" width="8" style="2" customWidth="1"/>
    <col min="1078" max="1078" width="8.6640625" style="2" customWidth="1"/>
    <col min="1079" max="1079" width="19.44140625" style="2" customWidth="1"/>
    <col min="1080" max="1080" width="101.6640625" style="2" customWidth="1"/>
    <col min="1081" max="1081" width="16.6640625" style="2" customWidth="1"/>
    <col min="1082" max="1082" width="16" style="2" customWidth="1"/>
    <col min="1083" max="1083" width="8.5546875" style="2" customWidth="1"/>
    <col min="1084" max="1085" width="8.6640625" style="2" customWidth="1"/>
    <col min="1086" max="1086" width="15.33203125" style="2" customWidth="1"/>
    <col min="1087" max="1087" width="22" style="2" customWidth="1"/>
    <col min="1088" max="1089" width="13.33203125" style="2" customWidth="1"/>
    <col min="1090" max="1090" width="52.6640625" style="2" customWidth="1"/>
    <col min="1091" max="1091" width="24" style="2" customWidth="1"/>
    <col min="1092" max="1092" width="29.33203125" style="2" customWidth="1"/>
    <col min="1093" max="1093" width="9.33203125" style="2" customWidth="1"/>
    <col min="1094" max="1094" width="27.33203125" style="2" customWidth="1"/>
    <col min="1095" max="1095" width="15.44140625" style="2" customWidth="1"/>
    <col min="1096" max="1096" width="16.33203125" style="2" customWidth="1"/>
    <col min="1097" max="1097" width="15.44140625" style="2" customWidth="1"/>
    <col min="1098" max="1098" width="14.33203125" style="2" customWidth="1"/>
    <col min="1099" max="1332" width="11.44140625" style="2"/>
    <col min="1333" max="1333" width="8" style="2" customWidth="1"/>
    <col min="1334" max="1334" width="8.6640625" style="2" customWidth="1"/>
    <col min="1335" max="1335" width="19.44140625" style="2" customWidth="1"/>
    <col min="1336" max="1336" width="101.6640625" style="2" customWidth="1"/>
    <col min="1337" max="1337" width="16.6640625" style="2" customWidth="1"/>
    <col min="1338" max="1338" width="16" style="2" customWidth="1"/>
    <col min="1339" max="1339" width="8.5546875" style="2" customWidth="1"/>
    <col min="1340" max="1341" width="8.6640625" style="2" customWidth="1"/>
    <col min="1342" max="1342" width="15.33203125" style="2" customWidth="1"/>
    <col min="1343" max="1343" width="22" style="2" customWidth="1"/>
    <col min="1344" max="1345" width="13.33203125" style="2" customWidth="1"/>
    <col min="1346" max="1346" width="52.6640625" style="2" customWidth="1"/>
    <col min="1347" max="1347" width="24" style="2" customWidth="1"/>
    <col min="1348" max="1348" width="29.33203125" style="2" customWidth="1"/>
    <col min="1349" max="1349" width="9.33203125" style="2" customWidth="1"/>
    <col min="1350" max="1350" width="27.33203125" style="2" customWidth="1"/>
    <col min="1351" max="1351" width="15.44140625" style="2" customWidth="1"/>
    <col min="1352" max="1352" width="16.33203125" style="2" customWidth="1"/>
    <col min="1353" max="1353" width="15.44140625" style="2" customWidth="1"/>
    <col min="1354" max="1354" width="14.33203125" style="2" customWidth="1"/>
    <col min="1355" max="1588" width="11.44140625" style="2"/>
    <col min="1589" max="1589" width="8" style="2" customWidth="1"/>
    <col min="1590" max="1590" width="8.6640625" style="2" customWidth="1"/>
    <col min="1591" max="1591" width="19.44140625" style="2" customWidth="1"/>
    <col min="1592" max="1592" width="101.6640625" style="2" customWidth="1"/>
    <col min="1593" max="1593" width="16.6640625" style="2" customWidth="1"/>
    <col min="1594" max="1594" width="16" style="2" customWidth="1"/>
    <col min="1595" max="1595" width="8.5546875" style="2" customWidth="1"/>
    <col min="1596" max="1597" width="8.6640625" style="2" customWidth="1"/>
    <col min="1598" max="1598" width="15.33203125" style="2" customWidth="1"/>
    <col min="1599" max="1599" width="22" style="2" customWidth="1"/>
    <col min="1600" max="1601" width="13.33203125" style="2" customWidth="1"/>
    <col min="1602" max="1602" width="52.6640625" style="2" customWidth="1"/>
    <col min="1603" max="1603" width="24" style="2" customWidth="1"/>
    <col min="1604" max="1604" width="29.33203125" style="2" customWidth="1"/>
    <col min="1605" max="1605" width="9.33203125" style="2" customWidth="1"/>
    <col min="1606" max="1606" width="27.33203125" style="2" customWidth="1"/>
    <col min="1607" max="1607" width="15.44140625" style="2" customWidth="1"/>
    <col min="1608" max="1608" width="16.33203125" style="2" customWidth="1"/>
    <col min="1609" max="1609" width="15.44140625" style="2" customWidth="1"/>
    <col min="1610" max="1610" width="14.33203125" style="2" customWidth="1"/>
    <col min="1611" max="1844" width="11.44140625" style="2"/>
    <col min="1845" max="1845" width="8" style="2" customWidth="1"/>
    <col min="1846" max="1846" width="8.6640625" style="2" customWidth="1"/>
    <col min="1847" max="1847" width="19.44140625" style="2" customWidth="1"/>
    <col min="1848" max="1848" width="101.6640625" style="2" customWidth="1"/>
    <col min="1849" max="1849" width="16.6640625" style="2" customWidth="1"/>
    <col min="1850" max="1850" width="16" style="2" customWidth="1"/>
    <col min="1851" max="1851" width="8.5546875" style="2" customWidth="1"/>
    <col min="1852" max="1853" width="8.6640625" style="2" customWidth="1"/>
    <col min="1854" max="1854" width="15.33203125" style="2" customWidth="1"/>
    <col min="1855" max="1855" width="22" style="2" customWidth="1"/>
    <col min="1856" max="1857" width="13.33203125" style="2" customWidth="1"/>
    <col min="1858" max="1858" width="52.6640625" style="2" customWidth="1"/>
    <col min="1859" max="1859" width="24" style="2" customWidth="1"/>
    <col min="1860" max="1860" width="29.33203125" style="2" customWidth="1"/>
    <col min="1861" max="1861" width="9.33203125" style="2" customWidth="1"/>
    <col min="1862" max="1862" width="27.33203125" style="2" customWidth="1"/>
    <col min="1863" max="1863" width="15.44140625" style="2" customWidth="1"/>
    <col min="1864" max="1864" width="16.33203125" style="2" customWidth="1"/>
    <col min="1865" max="1865" width="15.44140625" style="2" customWidth="1"/>
    <col min="1866" max="1866" width="14.33203125" style="2" customWidth="1"/>
    <col min="1867" max="2100" width="11.44140625" style="2"/>
    <col min="2101" max="2101" width="8" style="2" customWidth="1"/>
    <col min="2102" max="2102" width="8.6640625" style="2" customWidth="1"/>
    <col min="2103" max="2103" width="19.44140625" style="2" customWidth="1"/>
    <col min="2104" max="2104" width="101.6640625" style="2" customWidth="1"/>
    <col min="2105" max="2105" width="16.6640625" style="2" customWidth="1"/>
    <col min="2106" max="2106" width="16" style="2" customWidth="1"/>
    <col min="2107" max="2107" width="8.5546875" style="2" customWidth="1"/>
    <col min="2108" max="2109" width="8.6640625" style="2" customWidth="1"/>
    <col min="2110" max="2110" width="15.33203125" style="2" customWidth="1"/>
    <col min="2111" max="2111" width="22" style="2" customWidth="1"/>
    <col min="2112" max="2113" width="13.33203125" style="2" customWidth="1"/>
    <col min="2114" max="2114" width="52.6640625" style="2" customWidth="1"/>
    <col min="2115" max="2115" width="24" style="2" customWidth="1"/>
    <col min="2116" max="2116" width="29.33203125" style="2" customWidth="1"/>
    <col min="2117" max="2117" width="9.33203125" style="2" customWidth="1"/>
    <col min="2118" max="2118" width="27.33203125" style="2" customWidth="1"/>
    <col min="2119" max="2119" width="15.44140625" style="2" customWidth="1"/>
    <col min="2120" max="2120" width="16.33203125" style="2" customWidth="1"/>
    <col min="2121" max="2121" width="15.44140625" style="2" customWidth="1"/>
    <col min="2122" max="2122" width="14.33203125" style="2" customWidth="1"/>
    <col min="2123" max="2356" width="11.44140625" style="2"/>
    <col min="2357" max="2357" width="8" style="2" customWidth="1"/>
    <col min="2358" max="2358" width="8.6640625" style="2" customWidth="1"/>
    <col min="2359" max="2359" width="19.44140625" style="2" customWidth="1"/>
    <col min="2360" max="2360" width="101.6640625" style="2" customWidth="1"/>
    <col min="2361" max="2361" width="16.6640625" style="2" customWidth="1"/>
    <col min="2362" max="2362" width="16" style="2" customWidth="1"/>
    <col min="2363" max="2363" width="8.5546875" style="2" customWidth="1"/>
    <col min="2364" max="2365" width="8.6640625" style="2" customWidth="1"/>
    <col min="2366" max="2366" width="15.33203125" style="2" customWidth="1"/>
    <col min="2367" max="2367" width="22" style="2" customWidth="1"/>
    <col min="2368" max="2369" width="13.33203125" style="2" customWidth="1"/>
    <col min="2370" max="2370" width="52.6640625" style="2" customWidth="1"/>
    <col min="2371" max="2371" width="24" style="2" customWidth="1"/>
    <col min="2372" max="2372" width="29.33203125" style="2" customWidth="1"/>
    <col min="2373" max="2373" width="9.33203125" style="2" customWidth="1"/>
    <col min="2374" max="2374" width="27.33203125" style="2" customWidth="1"/>
    <col min="2375" max="2375" width="15.44140625" style="2" customWidth="1"/>
    <col min="2376" max="2376" width="16.33203125" style="2" customWidth="1"/>
    <col min="2377" max="2377" width="15.44140625" style="2" customWidth="1"/>
    <col min="2378" max="2378" width="14.33203125" style="2" customWidth="1"/>
    <col min="2379" max="2612" width="11.44140625" style="2"/>
    <col min="2613" max="2613" width="8" style="2" customWidth="1"/>
    <col min="2614" max="2614" width="8.6640625" style="2" customWidth="1"/>
    <col min="2615" max="2615" width="19.44140625" style="2" customWidth="1"/>
    <col min="2616" max="2616" width="101.6640625" style="2" customWidth="1"/>
    <col min="2617" max="2617" width="16.6640625" style="2" customWidth="1"/>
    <col min="2618" max="2618" width="16" style="2" customWidth="1"/>
    <col min="2619" max="2619" width="8.5546875" style="2" customWidth="1"/>
    <col min="2620" max="2621" width="8.6640625" style="2" customWidth="1"/>
    <col min="2622" max="2622" width="15.33203125" style="2" customWidth="1"/>
    <col min="2623" max="2623" width="22" style="2" customWidth="1"/>
    <col min="2624" max="2625" width="13.33203125" style="2" customWidth="1"/>
    <col min="2626" max="2626" width="52.6640625" style="2" customWidth="1"/>
    <col min="2627" max="2627" width="24" style="2" customWidth="1"/>
    <col min="2628" max="2628" width="29.33203125" style="2" customWidth="1"/>
    <col min="2629" max="2629" width="9.33203125" style="2" customWidth="1"/>
    <col min="2630" max="2630" width="27.33203125" style="2" customWidth="1"/>
    <col min="2631" max="2631" width="15.44140625" style="2" customWidth="1"/>
    <col min="2632" max="2632" width="16.33203125" style="2" customWidth="1"/>
    <col min="2633" max="2633" width="15.44140625" style="2" customWidth="1"/>
    <col min="2634" max="2634" width="14.33203125" style="2" customWidth="1"/>
    <col min="2635" max="2868" width="11.44140625" style="2"/>
    <col min="2869" max="2869" width="8" style="2" customWidth="1"/>
    <col min="2870" max="2870" width="8.6640625" style="2" customWidth="1"/>
    <col min="2871" max="2871" width="19.44140625" style="2" customWidth="1"/>
    <col min="2872" max="2872" width="101.6640625" style="2" customWidth="1"/>
    <col min="2873" max="2873" width="16.6640625" style="2" customWidth="1"/>
    <col min="2874" max="2874" width="16" style="2" customWidth="1"/>
    <col min="2875" max="2875" width="8.5546875" style="2" customWidth="1"/>
    <col min="2876" max="2877" width="8.6640625" style="2" customWidth="1"/>
    <col min="2878" max="2878" width="15.33203125" style="2" customWidth="1"/>
    <col min="2879" max="2879" width="22" style="2" customWidth="1"/>
    <col min="2880" max="2881" width="13.33203125" style="2" customWidth="1"/>
    <col min="2882" max="2882" width="52.6640625" style="2" customWidth="1"/>
    <col min="2883" max="2883" width="24" style="2" customWidth="1"/>
    <col min="2884" max="2884" width="29.33203125" style="2" customWidth="1"/>
    <col min="2885" max="2885" width="9.33203125" style="2" customWidth="1"/>
    <col min="2886" max="2886" width="27.33203125" style="2" customWidth="1"/>
    <col min="2887" max="2887" width="15.44140625" style="2" customWidth="1"/>
    <col min="2888" max="2888" width="16.33203125" style="2" customWidth="1"/>
    <col min="2889" max="2889" width="15.44140625" style="2" customWidth="1"/>
    <col min="2890" max="2890" width="14.33203125" style="2" customWidth="1"/>
    <col min="2891" max="3124" width="11.44140625" style="2"/>
    <col min="3125" max="3125" width="8" style="2" customWidth="1"/>
    <col min="3126" max="3126" width="8.6640625" style="2" customWidth="1"/>
    <col min="3127" max="3127" width="19.44140625" style="2" customWidth="1"/>
    <col min="3128" max="3128" width="101.6640625" style="2" customWidth="1"/>
    <col min="3129" max="3129" width="16.6640625" style="2" customWidth="1"/>
    <col min="3130" max="3130" width="16" style="2" customWidth="1"/>
    <col min="3131" max="3131" width="8.5546875" style="2" customWidth="1"/>
    <col min="3132" max="3133" width="8.6640625" style="2" customWidth="1"/>
    <col min="3134" max="3134" width="15.33203125" style="2" customWidth="1"/>
    <col min="3135" max="3135" width="22" style="2" customWidth="1"/>
    <col min="3136" max="3137" width="13.33203125" style="2" customWidth="1"/>
    <col min="3138" max="3138" width="52.6640625" style="2" customWidth="1"/>
    <col min="3139" max="3139" width="24" style="2" customWidth="1"/>
    <col min="3140" max="3140" width="29.33203125" style="2" customWidth="1"/>
    <col min="3141" max="3141" width="9.33203125" style="2" customWidth="1"/>
    <col min="3142" max="3142" width="27.33203125" style="2" customWidth="1"/>
    <col min="3143" max="3143" width="15.44140625" style="2" customWidth="1"/>
    <col min="3144" max="3144" width="16.33203125" style="2" customWidth="1"/>
    <col min="3145" max="3145" width="15.44140625" style="2" customWidth="1"/>
    <col min="3146" max="3146" width="14.33203125" style="2" customWidth="1"/>
    <col min="3147" max="3380" width="11.44140625" style="2"/>
    <col min="3381" max="3381" width="8" style="2" customWidth="1"/>
    <col min="3382" max="3382" width="8.6640625" style="2" customWidth="1"/>
    <col min="3383" max="3383" width="19.44140625" style="2" customWidth="1"/>
    <col min="3384" max="3384" width="101.6640625" style="2" customWidth="1"/>
    <col min="3385" max="3385" width="16.6640625" style="2" customWidth="1"/>
    <col min="3386" max="3386" width="16" style="2" customWidth="1"/>
    <col min="3387" max="3387" width="8.5546875" style="2" customWidth="1"/>
    <col min="3388" max="3389" width="8.6640625" style="2" customWidth="1"/>
    <col min="3390" max="3390" width="15.33203125" style="2" customWidth="1"/>
    <col min="3391" max="3391" width="22" style="2" customWidth="1"/>
    <col min="3392" max="3393" width="13.33203125" style="2" customWidth="1"/>
    <col min="3394" max="3394" width="52.6640625" style="2" customWidth="1"/>
    <col min="3395" max="3395" width="24" style="2" customWidth="1"/>
    <col min="3396" max="3396" width="29.33203125" style="2" customWidth="1"/>
    <col min="3397" max="3397" width="9.33203125" style="2" customWidth="1"/>
    <col min="3398" max="3398" width="27.33203125" style="2" customWidth="1"/>
    <col min="3399" max="3399" width="15.44140625" style="2" customWidth="1"/>
    <col min="3400" max="3400" width="16.33203125" style="2" customWidth="1"/>
    <col min="3401" max="3401" width="15.44140625" style="2" customWidth="1"/>
    <col min="3402" max="3402" width="14.33203125" style="2" customWidth="1"/>
    <col min="3403" max="3636" width="11.44140625" style="2"/>
    <col min="3637" max="3637" width="8" style="2" customWidth="1"/>
    <col min="3638" max="3638" width="8.6640625" style="2" customWidth="1"/>
    <col min="3639" max="3639" width="19.44140625" style="2" customWidth="1"/>
    <col min="3640" max="3640" width="101.6640625" style="2" customWidth="1"/>
    <col min="3641" max="3641" width="16.6640625" style="2" customWidth="1"/>
    <col min="3642" max="3642" width="16" style="2" customWidth="1"/>
    <col min="3643" max="3643" width="8.5546875" style="2" customWidth="1"/>
    <col min="3644" max="3645" width="8.6640625" style="2" customWidth="1"/>
    <col min="3646" max="3646" width="15.33203125" style="2" customWidth="1"/>
    <col min="3647" max="3647" width="22" style="2" customWidth="1"/>
    <col min="3648" max="3649" width="13.33203125" style="2" customWidth="1"/>
    <col min="3650" max="3650" width="52.6640625" style="2" customWidth="1"/>
    <col min="3651" max="3651" width="24" style="2" customWidth="1"/>
    <col min="3652" max="3652" width="29.33203125" style="2" customWidth="1"/>
    <col min="3653" max="3653" width="9.33203125" style="2" customWidth="1"/>
    <col min="3654" max="3654" width="27.33203125" style="2" customWidth="1"/>
    <col min="3655" max="3655" width="15.44140625" style="2" customWidth="1"/>
    <col min="3656" max="3656" width="16.33203125" style="2" customWidth="1"/>
    <col min="3657" max="3657" width="15.44140625" style="2" customWidth="1"/>
    <col min="3658" max="3658" width="14.33203125" style="2" customWidth="1"/>
    <col min="3659" max="3892" width="11.44140625" style="2"/>
    <col min="3893" max="3893" width="8" style="2" customWidth="1"/>
    <col min="3894" max="3894" width="8.6640625" style="2" customWidth="1"/>
    <col min="3895" max="3895" width="19.44140625" style="2" customWidth="1"/>
    <col min="3896" max="3896" width="101.6640625" style="2" customWidth="1"/>
    <col min="3897" max="3897" width="16.6640625" style="2" customWidth="1"/>
    <col min="3898" max="3898" width="16" style="2" customWidth="1"/>
    <col min="3899" max="3899" width="8.5546875" style="2" customWidth="1"/>
    <col min="3900" max="3901" width="8.6640625" style="2" customWidth="1"/>
    <col min="3902" max="3902" width="15.33203125" style="2" customWidth="1"/>
    <col min="3903" max="3903" width="22" style="2" customWidth="1"/>
    <col min="3904" max="3905" width="13.33203125" style="2" customWidth="1"/>
    <col min="3906" max="3906" width="52.6640625" style="2" customWidth="1"/>
    <col min="3907" max="3907" width="24" style="2" customWidth="1"/>
    <col min="3908" max="3908" width="29.33203125" style="2" customWidth="1"/>
    <col min="3909" max="3909" width="9.33203125" style="2" customWidth="1"/>
    <col min="3910" max="3910" width="27.33203125" style="2" customWidth="1"/>
    <col min="3911" max="3911" width="15.44140625" style="2" customWidth="1"/>
    <col min="3912" max="3912" width="16.33203125" style="2" customWidth="1"/>
    <col min="3913" max="3913" width="15.44140625" style="2" customWidth="1"/>
    <col min="3914" max="3914" width="14.33203125" style="2" customWidth="1"/>
    <col min="3915" max="4148" width="11.44140625" style="2"/>
    <col min="4149" max="4149" width="8" style="2" customWidth="1"/>
    <col min="4150" max="4150" width="8.6640625" style="2" customWidth="1"/>
    <col min="4151" max="4151" width="19.44140625" style="2" customWidth="1"/>
    <col min="4152" max="4152" width="101.6640625" style="2" customWidth="1"/>
    <col min="4153" max="4153" width="16.6640625" style="2" customWidth="1"/>
    <col min="4154" max="4154" width="16" style="2" customWidth="1"/>
    <col min="4155" max="4155" width="8.5546875" style="2" customWidth="1"/>
    <col min="4156" max="4157" width="8.6640625" style="2" customWidth="1"/>
    <col min="4158" max="4158" width="15.33203125" style="2" customWidth="1"/>
    <col min="4159" max="4159" width="22" style="2" customWidth="1"/>
    <col min="4160" max="4161" width="13.33203125" style="2" customWidth="1"/>
    <col min="4162" max="4162" width="52.6640625" style="2" customWidth="1"/>
    <col min="4163" max="4163" width="24" style="2" customWidth="1"/>
    <col min="4164" max="4164" width="29.33203125" style="2" customWidth="1"/>
    <col min="4165" max="4165" width="9.33203125" style="2" customWidth="1"/>
    <col min="4166" max="4166" width="27.33203125" style="2" customWidth="1"/>
    <col min="4167" max="4167" width="15.44140625" style="2" customWidth="1"/>
    <col min="4168" max="4168" width="16.33203125" style="2" customWidth="1"/>
    <col min="4169" max="4169" width="15.44140625" style="2" customWidth="1"/>
    <col min="4170" max="4170" width="14.33203125" style="2" customWidth="1"/>
    <col min="4171" max="4404" width="11.44140625" style="2"/>
    <col min="4405" max="4405" width="8" style="2" customWidth="1"/>
    <col min="4406" max="4406" width="8.6640625" style="2" customWidth="1"/>
    <col min="4407" max="4407" width="19.44140625" style="2" customWidth="1"/>
    <col min="4408" max="4408" width="101.6640625" style="2" customWidth="1"/>
    <col min="4409" max="4409" width="16.6640625" style="2" customWidth="1"/>
    <col min="4410" max="4410" width="16" style="2" customWidth="1"/>
    <col min="4411" max="4411" width="8.5546875" style="2" customWidth="1"/>
    <col min="4412" max="4413" width="8.6640625" style="2" customWidth="1"/>
    <col min="4414" max="4414" width="15.33203125" style="2" customWidth="1"/>
    <col min="4415" max="4415" width="22" style="2" customWidth="1"/>
    <col min="4416" max="4417" width="13.33203125" style="2" customWidth="1"/>
    <col min="4418" max="4418" width="52.6640625" style="2" customWidth="1"/>
    <col min="4419" max="4419" width="24" style="2" customWidth="1"/>
    <col min="4420" max="4420" width="29.33203125" style="2" customWidth="1"/>
    <col min="4421" max="4421" width="9.33203125" style="2" customWidth="1"/>
    <col min="4422" max="4422" width="27.33203125" style="2" customWidth="1"/>
    <col min="4423" max="4423" width="15.44140625" style="2" customWidth="1"/>
    <col min="4424" max="4424" width="16.33203125" style="2" customWidth="1"/>
    <col min="4425" max="4425" width="15.44140625" style="2" customWidth="1"/>
    <col min="4426" max="4426" width="14.33203125" style="2" customWidth="1"/>
    <col min="4427" max="4660" width="11.44140625" style="2"/>
    <col min="4661" max="4661" width="8" style="2" customWidth="1"/>
    <col min="4662" max="4662" width="8.6640625" style="2" customWidth="1"/>
    <col min="4663" max="4663" width="19.44140625" style="2" customWidth="1"/>
    <col min="4664" max="4664" width="101.6640625" style="2" customWidth="1"/>
    <col min="4665" max="4665" width="16.6640625" style="2" customWidth="1"/>
    <col min="4666" max="4666" width="16" style="2" customWidth="1"/>
    <col min="4667" max="4667" width="8.5546875" style="2" customWidth="1"/>
    <col min="4668" max="4669" width="8.6640625" style="2" customWidth="1"/>
    <col min="4670" max="4670" width="15.33203125" style="2" customWidth="1"/>
    <col min="4671" max="4671" width="22" style="2" customWidth="1"/>
    <col min="4672" max="4673" width="13.33203125" style="2" customWidth="1"/>
    <col min="4674" max="4674" width="52.6640625" style="2" customWidth="1"/>
    <col min="4675" max="4675" width="24" style="2" customWidth="1"/>
    <col min="4676" max="4676" width="29.33203125" style="2" customWidth="1"/>
    <col min="4677" max="4677" width="9.33203125" style="2" customWidth="1"/>
    <col min="4678" max="4678" width="27.33203125" style="2" customWidth="1"/>
    <col min="4679" max="4679" width="15.44140625" style="2" customWidth="1"/>
    <col min="4680" max="4680" width="16.33203125" style="2" customWidth="1"/>
    <col min="4681" max="4681" width="15.44140625" style="2" customWidth="1"/>
    <col min="4682" max="4682" width="14.33203125" style="2" customWidth="1"/>
    <col min="4683" max="4916" width="11.44140625" style="2"/>
    <col min="4917" max="4917" width="8" style="2" customWidth="1"/>
    <col min="4918" max="4918" width="8.6640625" style="2" customWidth="1"/>
    <col min="4919" max="4919" width="19.44140625" style="2" customWidth="1"/>
    <col min="4920" max="4920" width="101.6640625" style="2" customWidth="1"/>
    <col min="4921" max="4921" width="16.6640625" style="2" customWidth="1"/>
    <col min="4922" max="4922" width="16" style="2" customWidth="1"/>
    <col min="4923" max="4923" width="8.5546875" style="2" customWidth="1"/>
    <col min="4924" max="4925" width="8.6640625" style="2" customWidth="1"/>
    <col min="4926" max="4926" width="15.33203125" style="2" customWidth="1"/>
    <col min="4927" max="4927" width="22" style="2" customWidth="1"/>
    <col min="4928" max="4929" width="13.33203125" style="2" customWidth="1"/>
    <col min="4930" max="4930" width="52.6640625" style="2" customWidth="1"/>
    <col min="4931" max="4931" width="24" style="2" customWidth="1"/>
    <col min="4932" max="4932" width="29.33203125" style="2" customWidth="1"/>
    <col min="4933" max="4933" width="9.33203125" style="2" customWidth="1"/>
    <col min="4934" max="4934" width="27.33203125" style="2" customWidth="1"/>
    <col min="4935" max="4935" width="15.44140625" style="2" customWidth="1"/>
    <col min="4936" max="4936" width="16.33203125" style="2" customWidth="1"/>
    <col min="4937" max="4937" width="15.44140625" style="2" customWidth="1"/>
    <col min="4938" max="4938" width="14.33203125" style="2" customWidth="1"/>
    <col min="4939" max="5172" width="11.44140625" style="2"/>
    <col min="5173" max="5173" width="8" style="2" customWidth="1"/>
    <col min="5174" max="5174" width="8.6640625" style="2" customWidth="1"/>
    <col min="5175" max="5175" width="19.44140625" style="2" customWidth="1"/>
    <col min="5176" max="5176" width="101.6640625" style="2" customWidth="1"/>
    <col min="5177" max="5177" width="16.6640625" style="2" customWidth="1"/>
    <col min="5178" max="5178" width="16" style="2" customWidth="1"/>
    <col min="5179" max="5179" width="8.5546875" style="2" customWidth="1"/>
    <col min="5180" max="5181" width="8.6640625" style="2" customWidth="1"/>
    <col min="5182" max="5182" width="15.33203125" style="2" customWidth="1"/>
    <col min="5183" max="5183" width="22" style="2" customWidth="1"/>
    <col min="5184" max="5185" width="13.33203125" style="2" customWidth="1"/>
    <col min="5186" max="5186" width="52.6640625" style="2" customWidth="1"/>
    <col min="5187" max="5187" width="24" style="2" customWidth="1"/>
    <col min="5188" max="5188" width="29.33203125" style="2" customWidth="1"/>
    <col min="5189" max="5189" width="9.33203125" style="2" customWidth="1"/>
    <col min="5190" max="5190" width="27.33203125" style="2" customWidth="1"/>
    <col min="5191" max="5191" width="15.44140625" style="2" customWidth="1"/>
    <col min="5192" max="5192" width="16.33203125" style="2" customWidth="1"/>
    <col min="5193" max="5193" width="15.44140625" style="2" customWidth="1"/>
    <col min="5194" max="5194" width="14.33203125" style="2" customWidth="1"/>
    <col min="5195" max="5428" width="11.44140625" style="2"/>
    <col min="5429" max="5429" width="8" style="2" customWidth="1"/>
    <col min="5430" max="5430" width="8.6640625" style="2" customWidth="1"/>
    <col min="5431" max="5431" width="19.44140625" style="2" customWidth="1"/>
    <col min="5432" max="5432" width="101.6640625" style="2" customWidth="1"/>
    <col min="5433" max="5433" width="16.6640625" style="2" customWidth="1"/>
    <col min="5434" max="5434" width="16" style="2" customWidth="1"/>
    <col min="5435" max="5435" width="8.5546875" style="2" customWidth="1"/>
    <col min="5436" max="5437" width="8.6640625" style="2" customWidth="1"/>
    <col min="5438" max="5438" width="15.33203125" style="2" customWidth="1"/>
    <col min="5439" max="5439" width="22" style="2" customWidth="1"/>
    <col min="5440" max="5441" width="13.33203125" style="2" customWidth="1"/>
    <col min="5442" max="5442" width="52.6640625" style="2" customWidth="1"/>
    <col min="5443" max="5443" width="24" style="2" customWidth="1"/>
    <col min="5444" max="5444" width="29.33203125" style="2" customWidth="1"/>
    <col min="5445" max="5445" width="9.33203125" style="2" customWidth="1"/>
    <col min="5446" max="5446" width="27.33203125" style="2" customWidth="1"/>
    <col min="5447" max="5447" width="15.44140625" style="2" customWidth="1"/>
    <col min="5448" max="5448" width="16.33203125" style="2" customWidth="1"/>
    <col min="5449" max="5449" width="15.44140625" style="2" customWidth="1"/>
    <col min="5450" max="5450" width="14.33203125" style="2" customWidth="1"/>
    <col min="5451" max="5684" width="11.44140625" style="2"/>
    <col min="5685" max="5685" width="8" style="2" customWidth="1"/>
    <col min="5686" max="5686" width="8.6640625" style="2" customWidth="1"/>
    <col min="5687" max="5687" width="19.44140625" style="2" customWidth="1"/>
    <col min="5688" max="5688" width="101.6640625" style="2" customWidth="1"/>
    <col min="5689" max="5689" width="16.6640625" style="2" customWidth="1"/>
    <col min="5690" max="5690" width="16" style="2" customWidth="1"/>
    <col min="5691" max="5691" width="8.5546875" style="2" customWidth="1"/>
    <col min="5692" max="5693" width="8.6640625" style="2" customWidth="1"/>
    <col min="5694" max="5694" width="15.33203125" style="2" customWidth="1"/>
    <col min="5695" max="5695" width="22" style="2" customWidth="1"/>
    <col min="5696" max="5697" width="13.33203125" style="2" customWidth="1"/>
    <col min="5698" max="5698" width="52.6640625" style="2" customWidth="1"/>
    <col min="5699" max="5699" width="24" style="2" customWidth="1"/>
    <col min="5700" max="5700" width="29.33203125" style="2" customWidth="1"/>
    <col min="5701" max="5701" width="9.33203125" style="2" customWidth="1"/>
    <col min="5702" max="5702" width="27.33203125" style="2" customWidth="1"/>
    <col min="5703" max="5703" width="15.44140625" style="2" customWidth="1"/>
    <col min="5704" max="5704" width="16.33203125" style="2" customWidth="1"/>
    <col min="5705" max="5705" width="15.44140625" style="2" customWidth="1"/>
    <col min="5706" max="5706" width="14.33203125" style="2" customWidth="1"/>
    <col min="5707" max="5940" width="11.44140625" style="2"/>
    <col min="5941" max="5941" width="8" style="2" customWidth="1"/>
    <col min="5942" max="5942" width="8.6640625" style="2" customWidth="1"/>
    <col min="5943" max="5943" width="19.44140625" style="2" customWidth="1"/>
    <col min="5944" max="5944" width="101.6640625" style="2" customWidth="1"/>
    <col min="5945" max="5945" width="16.6640625" style="2" customWidth="1"/>
    <col min="5946" max="5946" width="16" style="2" customWidth="1"/>
    <col min="5947" max="5947" width="8.5546875" style="2" customWidth="1"/>
    <col min="5948" max="5949" width="8.6640625" style="2" customWidth="1"/>
    <col min="5950" max="5950" width="15.33203125" style="2" customWidth="1"/>
    <col min="5951" max="5951" width="22" style="2" customWidth="1"/>
    <col min="5952" max="5953" width="13.33203125" style="2" customWidth="1"/>
    <col min="5954" max="5954" width="52.6640625" style="2" customWidth="1"/>
    <col min="5955" max="5955" width="24" style="2" customWidth="1"/>
    <col min="5956" max="5956" width="29.33203125" style="2" customWidth="1"/>
    <col min="5957" max="5957" width="9.33203125" style="2" customWidth="1"/>
    <col min="5958" max="5958" width="27.33203125" style="2" customWidth="1"/>
    <col min="5959" max="5959" width="15.44140625" style="2" customWidth="1"/>
    <col min="5960" max="5960" width="16.33203125" style="2" customWidth="1"/>
    <col min="5961" max="5961" width="15.44140625" style="2" customWidth="1"/>
    <col min="5962" max="5962" width="14.33203125" style="2" customWidth="1"/>
    <col min="5963" max="6196" width="11.44140625" style="2"/>
    <col min="6197" max="6197" width="8" style="2" customWidth="1"/>
    <col min="6198" max="6198" width="8.6640625" style="2" customWidth="1"/>
    <col min="6199" max="6199" width="19.44140625" style="2" customWidth="1"/>
    <col min="6200" max="6200" width="101.6640625" style="2" customWidth="1"/>
    <col min="6201" max="6201" width="16.6640625" style="2" customWidth="1"/>
    <col min="6202" max="6202" width="16" style="2" customWidth="1"/>
    <col min="6203" max="6203" width="8.5546875" style="2" customWidth="1"/>
    <col min="6204" max="6205" width="8.6640625" style="2" customWidth="1"/>
    <col min="6206" max="6206" width="15.33203125" style="2" customWidth="1"/>
    <col min="6207" max="6207" width="22" style="2" customWidth="1"/>
    <col min="6208" max="6209" width="13.33203125" style="2" customWidth="1"/>
    <col min="6210" max="6210" width="52.6640625" style="2" customWidth="1"/>
    <col min="6211" max="6211" width="24" style="2" customWidth="1"/>
    <col min="6212" max="6212" width="29.33203125" style="2" customWidth="1"/>
    <col min="6213" max="6213" width="9.33203125" style="2" customWidth="1"/>
    <col min="6214" max="6214" width="27.33203125" style="2" customWidth="1"/>
    <col min="6215" max="6215" width="15.44140625" style="2" customWidth="1"/>
    <col min="6216" max="6216" width="16.33203125" style="2" customWidth="1"/>
    <col min="6217" max="6217" width="15.44140625" style="2" customWidth="1"/>
    <col min="6218" max="6218" width="14.33203125" style="2" customWidth="1"/>
    <col min="6219" max="6452" width="11.44140625" style="2"/>
    <col min="6453" max="6453" width="8" style="2" customWidth="1"/>
    <col min="6454" max="6454" width="8.6640625" style="2" customWidth="1"/>
    <col min="6455" max="6455" width="19.44140625" style="2" customWidth="1"/>
    <col min="6456" max="6456" width="101.6640625" style="2" customWidth="1"/>
    <col min="6457" max="6457" width="16.6640625" style="2" customWidth="1"/>
    <col min="6458" max="6458" width="16" style="2" customWidth="1"/>
    <col min="6459" max="6459" width="8.5546875" style="2" customWidth="1"/>
    <col min="6460" max="6461" width="8.6640625" style="2" customWidth="1"/>
    <col min="6462" max="6462" width="15.33203125" style="2" customWidth="1"/>
    <col min="6463" max="6463" width="22" style="2" customWidth="1"/>
    <col min="6464" max="6465" width="13.33203125" style="2" customWidth="1"/>
    <col min="6466" max="6466" width="52.6640625" style="2" customWidth="1"/>
    <col min="6467" max="6467" width="24" style="2" customWidth="1"/>
    <col min="6468" max="6468" width="29.33203125" style="2" customWidth="1"/>
    <col min="6469" max="6469" width="9.33203125" style="2" customWidth="1"/>
    <col min="6470" max="6470" width="27.33203125" style="2" customWidth="1"/>
    <col min="6471" max="6471" width="15.44140625" style="2" customWidth="1"/>
    <col min="6472" max="6472" width="16.33203125" style="2" customWidth="1"/>
    <col min="6473" max="6473" width="15.44140625" style="2" customWidth="1"/>
    <col min="6474" max="6474" width="14.33203125" style="2" customWidth="1"/>
    <col min="6475" max="6708" width="11.44140625" style="2"/>
    <col min="6709" max="6709" width="8" style="2" customWidth="1"/>
    <col min="6710" max="6710" width="8.6640625" style="2" customWidth="1"/>
    <col min="6711" max="6711" width="19.44140625" style="2" customWidth="1"/>
    <col min="6712" max="6712" width="101.6640625" style="2" customWidth="1"/>
    <col min="6713" max="6713" width="16.6640625" style="2" customWidth="1"/>
    <col min="6714" max="6714" width="16" style="2" customWidth="1"/>
    <col min="6715" max="6715" width="8.5546875" style="2" customWidth="1"/>
    <col min="6716" max="6717" width="8.6640625" style="2" customWidth="1"/>
    <col min="6718" max="6718" width="15.33203125" style="2" customWidth="1"/>
    <col min="6719" max="6719" width="22" style="2" customWidth="1"/>
    <col min="6720" max="6721" width="13.33203125" style="2" customWidth="1"/>
    <col min="6722" max="6722" width="52.6640625" style="2" customWidth="1"/>
    <col min="6723" max="6723" width="24" style="2" customWidth="1"/>
    <col min="6724" max="6724" width="29.33203125" style="2" customWidth="1"/>
    <col min="6725" max="6725" width="9.33203125" style="2" customWidth="1"/>
    <col min="6726" max="6726" width="27.33203125" style="2" customWidth="1"/>
    <col min="6727" max="6727" width="15.44140625" style="2" customWidth="1"/>
    <col min="6728" max="6728" width="16.33203125" style="2" customWidth="1"/>
    <col min="6729" max="6729" width="15.44140625" style="2" customWidth="1"/>
    <col min="6730" max="6730" width="14.33203125" style="2" customWidth="1"/>
    <col min="6731" max="6964" width="11.44140625" style="2"/>
    <col min="6965" max="6965" width="8" style="2" customWidth="1"/>
    <col min="6966" max="6966" width="8.6640625" style="2" customWidth="1"/>
    <col min="6967" max="6967" width="19.44140625" style="2" customWidth="1"/>
    <col min="6968" max="6968" width="101.6640625" style="2" customWidth="1"/>
    <col min="6969" max="6969" width="16.6640625" style="2" customWidth="1"/>
    <col min="6970" max="6970" width="16" style="2" customWidth="1"/>
    <col min="6971" max="6971" width="8.5546875" style="2" customWidth="1"/>
    <col min="6972" max="6973" width="8.6640625" style="2" customWidth="1"/>
    <col min="6974" max="6974" width="15.33203125" style="2" customWidth="1"/>
    <col min="6975" max="6975" width="22" style="2" customWidth="1"/>
    <col min="6976" max="6977" width="13.33203125" style="2" customWidth="1"/>
    <col min="6978" max="6978" width="52.6640625" style="2" customWidth="1"/>
    <col min="6979" max="6979" width="24" style="2" customWidth="1"/>
    <col min="6980" max="6980" width="29.33203125" style="2" customWidth="1"/>
    <col min="6981" max="6981" width="9.33203125" style="2" customWidth="1"/>
    <col min="6982" max="6982" width="27.33203125" style="2" customWidth="1"/>
    <col min="6983" max="6983" width="15.44140625" style="2" customWidth="1"/>
    <col min="6984" max="6984" width="16.33203125" style="2" customWidth="1"/>
    <col min="6985" max="6985" width="15.44140625" style="2" customWidth="1"/>
    <col min="6986" max="6986" width="14.33203125" style="2" customWidth="1"/>
    <col min="6987" max="7220" width="11.44140625" style="2"/>
    <col min="7221" max="7221" width="8" style="2" customWidth="1"/>
    <col min="7222" max="7222" width="8.6640625" style="2" customWidth="1"/>
    <col min="7223" max="7223" width="19.44140625" style="2" customWidth="1"/>
    <col min="7224" max="7224" width="101.6640625" style="2" customWidth="1"/>
    <col min="7225" max="7225" width="16.6640625" style="2" customWidth="1"/>
    <col min="7226" max="7226" width="16" style="2" customWidth="1"/>
    <col min="7227" max="7227" width="8.5546875" style="2" customWidth="1"/>
    <col min="7228" max="7229" width="8.6640625" style="2" customWidth="1"/>
    <col min="7230" max="7230" width="15.33203125" style="2" customWidth="1"/>
    <col min="7231" max="7231" width="22" style="2" customWidth="1"/>
    <col min="7232" max="7233" width="13.33203125" style="2" customWidth="1"/>
    <col min="7234" max="7234" width="52.6640625" style="2" customWidth="1"/>
    <col min="7235" max="7235" width="24" style="2" customWidth="1"/>
    <col min="7236" max="7236" width="29.33203125" style="2" customWidth="1"/>
    <col min="7237" max="7237" width="9.33203125" style="2" customWidth="1"/>
    <col min="7238" max="7238" width="27.33203125" style="2" customWidth="1"/>
    <col min="7239" max="7239" width="15.44140625" style="2" customWidth="1"/>
    <col min="7240" max="7240" width="16.33203125" style="2" customWidth="1"/>
    <col min="7241" max="7241" width="15.44140625" style="2" customWidth="1"/>
    <col min="7242" max="7242" width="14.33203125" style="2" customWidth="1"/>
    <col min="7243" max="7476" width="11.44140625" style="2"/>
    <col min="7477" max="7477" width="8" style="2" customWidth="1"/>
    <col min="7478" max="7478" width="8.6640625" style="2" customWidth="1"/>
    <col min="7479" max="7479" width="19.44140625" style="2" customWidth="1"/>
    <col min="7480" max="7480" width="101.6640625" style="2" customWidth="1"/>
    <col min="7481" max="7481" width="16.6640625" style="2" customWidth="1"/>
    <col min="7482" max="7482" width="16" style="2" customWidth="1"/>
    <col min="7483" max="7483" width="8.5546875" style="2" customWidth="1"/>
    <col min="7484" max="7485" width="8.6640625" style="2" customWidth="1"/>
    <col min="7486" max="7486" width="15.33203125" style="2" customWidth="1"/>
    <col min="7487" max="7487" width="22" style="2" customWidth="1"/>
    <col min="7488" max="7489" width="13.33203125" style="2" customWidth="1"/>
    <col min="7490" max="7490" width="52.6640625" style="2" customWidth="1"/>
    <col min="7491" max="7491" width="24" style="2" customWidth="1"/>
    <col min="7492" max="7492" width="29.33203125" style="2" customWidth="1"/>
    <col min="7493" max="7493" width="9.33203125" style="2" customWidth="1"/>
    <col min="7494" max="7494" width="27.33203125" style="2" customWidth="1"/>
    <col min="7495" max="7495" width="15.44140625" style="2" customWidth="1"/>
    <col min="7496" max="7496" width="16.33203125" style="2" customWidth="1"/>
    <col min="7497" max="7497" width="15.44140625" style="2" customWidth="1"/>
    <col min="7498" max="7498" width="14.33203125" style="2" customWidth="1"/>
    <col min="7499" max="7732" width="11.44140625" style="2"/>
    <col min="7733" max="7733" width="8" style="2" customWidth="1"/>
    <col min="7734" max="7734" width="8.6640625" style="2" customWidth="1"/>
    <col min="7735" max="7735" width="19.44140625" style="2" customWidth="1"/>
    <col min="7736" max="7736" width="101.6640625" style="2" customWidth="1"/>
    <col min="7737" max="7737" width="16.6640625" style="2" customWidth="1"/>
    <col min="7738" max="7738" width="16" style="2" customWidth="1"/>
    <col min="7739" max="7739" width="8.5546875" style="2" customWidth="1"/>
    <col min="7740" max="7741" width="8.6640625" style="2" customWidth="1"/>
    <col min="7742" max="7742" width="15.33203125" style="2" customWidth="1"/>
    <col min="7743" max="7743" width="22" style="2" customWidth="1"/>
    <col min="7744" max="7745" width="13.33203125" style="2" customWidth="1"/>
    <col min="7746" max="7746" width="52.6640625" style="2" customWidth="1"/>
    <col min="7747" max="7747" width="24" style="2" customWidth="1"/>
    <col min="7748" max="7748" width="29.33203125" style="2" customWidth="1"/>
    <col min="7749" max="7749" width="9.33203125" style="2" customWidth="1"/>
    <col min="7750" max="7750" width="27.33203125" style="2" customWidth="1"/>
    <col min="7751" max="7751" width="15.44140625" style="2" customWidth="1"/>
    <col min="7752" max="7752" width="16.33203125" style="2" customWidth="1"/>
    <col min="7753" max="7753" width="15.44140625" style="2" customWidth="1"/>
    <col min="7754" max="7754" width="14.33203125" style="2" customWidth="1"/>
    <col min="7755" max="7988" width="11.44140625" style="2"/>
    <col min="7989" max="7989" width="8" style="2" customWidth="1"/>
    <col min="7990" max="7990" width="8.6640625" style="2" customWidth="1"/>
    <col min="7991" max="7991" width="19.44140625" style="2" customWidth="1"/>
    <col min="7992" max="7992" width="101.6640625" style="2" customWidth="1"/>
    <col min="7993" max="7993" width="16.6640625" style="2" customWidth="1"/>
    <col min="7994" max="7994" width="16" style="2" customWidth="1"/>
    <col min="7995" max="7995" width="8.5546875" style="2" customWidth="1"/>
    <col min="7996" max="7997" width="8.6640625" style="2" customWidth="1"/>
    <col min="7998" max="7998" width="15.33203125" style="2" customWidth="1"/>
    <col min="7999" max="7999" width="22" style="2" customWidth="1"/>
    <col min="8000" max="8001" width="13.33203125" style="2" customWidth="1"/>
    <col min="8002" max="8002" width="52.6640625" style="2" customWidth="1"/>
    <col min="8003" max="8003" width="24" style="2" customWidth="1"/>
    <col min="8004" max="8004" width="29.33203125" style="2" customWidth="1"/>
    <col min="8005" max="8005" width="9.33203125" style="2" customWidth="1"/>
    <col min="8006" max="8006" width="27.33203125" style="2" customWidth="1"/>
    <col min="8007" max="8007" width="15.44140625" style="2" customWidth="1"/>
    <col min="8008" max="8008" width="16.33203125" style="2" customWidth="1"/>
    <col min="8009" max="8009" width="15.44140625" style="2" customWidth="1"/>
    <col min="8010" max="8010" width="14.33203125" style="2" customWidth="1"/>
    <col min="8011" max="8244" width="11.44140625" style="2"/>
    <col min="8245" max="8245" width="8" style="2" customWidth="1"/>
    <col min="8246" max="8246" width="8.6640625" style="2" customWidth="1"/>
    <col min="8247" max="8247" width="19.44140625" style="2" customWidth="1"/>
    <col min="8248" max="8248" width="101.6640625" style="2" customWidth="1"/>
    <col min="8249" max="8249" width="16.6640625" style="2" customWidth="1"/>
    <col min="8250" max="8250" width="16" style="2" customWidth="1"/>
    <col min="8251" max="8251" width="8.5546875" style="2" customWidth="1"/>
    <col min="8252" max="8253" width="8.6640625" style="2" customWidth="1"/>
    <col min="8254" max="8254" width="15.33203125" style="2" customWidth="1"/>
    <col min="8255" max="8255" width="22" style="2" customWidth="1"/>
    <col min="8256" max="8257" width="13.33203125" style="2" customWidth="1"/>
    <col min="8258" max="8258" width="52.6640625" style="2" customWidth="1"/>
    <col min="8259" max="8259" width="24" style="2" customWidth="1"/>
    <col min="8260" max="8260" width="29.33203125" style="2" customWidth="1"/>
    <col min="8261" max="8261" width="9.33203125" style="2" customWidth="1"/>
    <col min="8262" max="8262" width="27.33203125" style="2" customWidth="1"/>
    <col min="8263" max="8263" width="15.44140625" style="2" customWidth="1"/>
    <col min="8264" max="8264" width="16.33203125" style="2" customWidth="1"/>
    <col min="8265" max="8265" width="15.44140625" style="2" customWidth="1"/>
    <col min="8266" max="8266" width="14.33203125" style="2" customWidth="1"/>
    <col min="8267" max="8500" width="11.44140625" style="2"/>
    <col min="8501" max="8501" width="8" style="2" customWidth="1"/>
    <col min="8502" max="8502" width="8.6640625" style="2" customWidth="1"/>
    <col min="8503" max="8503" width="19.44140625" style="2" customWidth="1"/>
    <col min="8504" max="8504" width="101.6640625" style="2" customWidth="1"/>
    <col min="8505" max="8505" width="16.6640625" style="2" customWidth="1"/>
    <col min="8506" max="8506" width="16" style="2" customWidth="1"/>
    <col min="8507" max="8507" width="8.5546875" style="2" customWidth="1"/>
    <col min="8508" max="8509" width="8.6640625" style="2" customWidth="1"/>
    <col min="8510" max="8510" width="15.33203125" style="2" customWidth="1"/>
    <col min="8511" max="8511" width="22" style="2" customWidth="1"/>
    <col min="8512" max="8513" width="13.33203125" style="2" customWidth="1"/>
    <col min="8514" max="8514" width="52.6640625" style="2" customWidth="1"/>
    <col min="8515" max="8515" width="24" style="2" customWidth="1"/>
    <col min="8516" max="8516" width="29.33203125" style="2" customWidth="1"/>
    <col min="8517" max="8517" width="9.33203125" style="2" customWidth="1"/>
    <col min="8518" max="8518" width="27.33203125" style="2" customWidth="1"/>
    <col min="8519" max="8519" width="15.44140625" style="2" customWidth="1"/>
    <col min="8520" max="8520" width="16.33203125" style="2" customWidth="1"/>
    <col min="8521" max="8521" width="15.44140625" style="2" customWidth="1"/>
    <col min="8522" max="8522" width="14.33203125" style="2" customWidth="1"/>
    <col min="8523" max="8756" width="11.44140625" style="2"/>
    <col min="8757" max="8757" width="8" style="2" customWidth="1"/>
    <col min="8758" max="8758" width="8.6640625" style="2" customWidth="1"/>
    <col min="8759" max="8759" width="19.44140625" style="2" customWidth="1"/>
    <col min="8760" max="8760" width="101.6640625" style="2" customWidth="1"/>
    <col min="8761" max="8761" width="16.6640625" style="2" customWidth="1"/>
    <col min="8762" max="8762" width="16" style="2" customWidth="1"/>
    <col min="8763" max="8763" width="8.5546875" style="2" customWidth="1"/>
    <col min="8764" max="8765" width="8.6640625" style="2" customWidth="1"/>
    <col min="8766" max="8766" width="15.33203125" style="2" customWidth="1"/>
    <col min="8767" max="8767" width="22" style="2" customWidth="1"/>
    <col min="8768" max="8769" width="13.33203125" style="2" customWidth="1"/>
    <col min="8770" max="8770" width="52.6640625" style="2" customWidth="1"/>
    <col min="8771" max="8771" width="24" style="2" customWidth="1"/>
    <col min="8772" max="8772" width="29.33203125" style="2" customWidth="1"/>
    <col min="8773" max="8773" width="9.33203125" style="2" customWidth="1"/>
    <col min="8774" max="8774" width="27.33203125" style="2" customWidth="1"/>
    <col min="8775" max="8775" width="15.44140625" style="2" customWidth="1"/>
    <col min="8776" max="8776" width="16.33203125" style="2" customWidth="1"/>
    <col min="8777" max="8777" width="15.44140625" style="2" customWidth="1"/>
    <col min="8778" max="8778" width="14.33203125" style="2" customWidth="1"/>
    <col min="8779" max="9012" width="11.44140625" style="2"/>
    <col min="9013" max="9013" width="8" style="2" customWidth="1"/>
    <col min="9014" max="9014" width="8.6640625" style="2" customWidth="1"/>
    <col min="9015" max="9015" width="19.44140625" style="2" customWidth="1"/>
    <col min="9016" max="9016" width="101.6640625" style="2" customWidth="1"/>
    <col min="9017" max="9017" width="16.6640625" style="2" customWidth="1"/>
    <col min="9018" max="9018" width="16" style="2" customWidth="1"/>
    <col min="9019" max="9019" width="8.5546875" style="2" customWidth="1"/>
    <col min="9020" max="9021" width="8.6640625" style="2" customWidth="1"/>
    <col min="9022" max="9022" width="15.33203125" style="2" customWidth="1"/>
    <col min="9023" max="9023" width="22" style="2" customWidth="1"/>
    <col min="9024" max="9025" width="13.33203125" style="2" customWidth="1"/>
    <col min="9026" max="9026" width="52.6640625" style="2" customWidth="1"/>
    <col min="9027" max="9027" width="24" style="2" customWidth="1"/>
    <col min="9028" max="9028" width="29.33203125" style="2" customWidth="1"/>
    <col min="9029" max="9029" width="9.33203125" style="2" customWidth="1"/>
    <col min="9030" max="9030" width="27.33203125" style="2" customWidth="1"/>
    <col min="9031" max="9031" width="15.44140625" style="2" customWidth="1"/>
    <col min="9032" max="9032" width="16.33203125" style="2" customWidth="1"/>
    <col min="9033" max="9033" width="15.44140625" style="2" customWidth="1"/>
    <col min="9034" max="9034" width="14.33203125" style="2" customWidth="1"/>
    <col min="9035" max="9268" width="11.44140625" style="2"/>
    <col min="9269" max="9269" width="8" style="2" customWidth="1"/>
    <col min="9270" max="9270" width="8.6640625" style="2" customWidth="1"/>
    <col min="9271" max="9271" width="19.44140625" style="2" customWidth="1"/>
    <col min="9272" max="9272" width="101.6640625" style="2" customWidth="1"/>
    <col min="9273" max="9273" width="16.6640625" style="2" customWidth="1"/>
    <col min="9274" max="9274" width="16" style="2" customWidth="1"/>
    <col min="9275" max="9275" width="8.5546875" style="2" customWidth="1"/>
    <col min="9276" max="9277" width="8.6640625" style="2" customWidth="1"/>
    <col min="9278" max="9278" width="15.33203125" style="2" customWidth="1"/>
    <col min="9279" max="9279" width="22" style="2" customWidth="1"/>
    <col min="9280" max="9281" width="13.33203125" style="2" customWidth="1"/>
    <col min="9282" max="9282" width="52.6640625" style="2" customWidth="1"/>
    <col min="9283" max="9283" width="24" style="2" customWidth="1"/>
    <col min="9284" max="9284" width="29.33203125" style="2" customWidth="1"/>
    <col min="9285" max="9285" width="9.33203125" style="2" customWidth="1"/>
    <col min="9286" max="9286" width="27.33203125" style="2" customWidth="1"/>
    <col min="9287" max="9287" width="15.44140625" style="2" customWidth="1"/>
    <col min="9288" max="9288" width="16.33203125" style="2" customWidth="1"/>
    <col min="9289" max="9289" width="15.44140625" style="2" customWidth="1"/>
    <col min="9290" max="9290" width="14.33203125" style="2" customWidth="1"/>
    <col min="9291" max="9524" width="11.44140625" style="2"/>
    <col min="9525" max="9525" width="8" style="2" customWidth="1"/>
    <col min="9526" max="9526" width="8.6640625" style="2" customWidth="1"/>
    <col min="9527" max="9527" width="19.44140625" style="2" customWidth="1"/>
    <col min="9528" max="9528" width="101.6640625" style="2" customWidth="1"/>
    <col min="9529" max="9529" width="16.6640625" style="2" customWidth="1"/>
    <col min="9530" max="9530" width="16" style="2" customWidth="1"/>
    <col min="9531" max="9531" width="8.5546875" style="2" customWidth="1"/>
    <col min="9532" max="9533" width="8.6640625" style="2" customWidth="1"/>
    <col min="9534" max="9534" width="15.33203125" style="2" customWidth="1"/>
    <col min="9535" max="9535" width="22" style="2" customWidth="1"/>
    <col min="9536" max="9537" width="13.33203125" style="2" customWidth="1"/>
    <col min="9538" max="9538" width="52.6640625" style="2" customWidth="1"/>
    <col min="9539" max="9539" width="24" style="2" customWidth="1"/>
    <col min="9540" max="9540" width="29.33203125" style="2" customWidth="1"/>
    <col min="9541" max="9541" width="9.33203125" style="2" customWidth="1"/>
    <col min="9542" max="9542" width="27.33203125" style="2" customWidth="1"/>
    <col min="9543" max="9543" width="15.44140625" style="2" customWidth="1"/>
    <col min="9544" max="9544" width="16.33203125" style="2" customWidth="1"/>
    <col min="9545" max="9545" width="15.44140625" style="2" customWidth="1"/>
    <col min="9546" max="9546" width="14.33203125" style="2" customWidth="1"/>
    <col min="9547" max="9780" width="11.44140625" style="2"/>
    <col min="9781" max="9781" width="8" style="2" customWidth="1"/>
    <col min="9782" max="9782" width="8.6640625" style="2" customWidth="1"/>
    <col min="9783" max="9783" width="19.44140625" style="2" customWidth="1"/>
    <col min="9784" max="9784" width="101.6640625" style="2" customWidth="1"/>
    <col min="9785" max="9785" width="16.6640625" style="2" customWidth="1"/>
    <col min="9786" max="9786" width="16" style="2" customWidth="1"/>
    <col min="9787" max="9787" width="8.5546875" style="2" customWidth="1"/>
    <col min="9788" max="9789" width="8.6640625" style="2" customWidth="1"/>
    <col min="9790" max="9790" width="15.33203125" style="2" customWidth="1"/>
    <col min="9791" max="9791" width="22" style="2" customWidth="1"/>
    <col min="9792" max="9793" width="13.33203125" style="2" customWidth="1"/>
    <col min="9794" max="9794" width="52.6640625" style="2" customWidth="1"/>
    <col min="9795" max="9795" width="24" style="2" customWidth="1"/>
    <col min="9796" max="9796" width="29.33203125" style="2" customWidth="1"/>
    <col min="9797" max="9797" width="9.33203125" style="2" customWidth="1"/>
    <col min="9798" max="9798" width="27.33203125" style="2" customWidth="1"/>
    <col min="9799" max="9799" width="15.44140625" style="2" customWidth="1"/>
    <col min="9800" max="9800" width="16.33203125" style="2" customWidth="1"/>
    <col min="9801" max="9801" width="15.44140625" style="2" customWidth="1"/>
    <col min="9802" max="9802" width="14.33203125" style="2" customWidth="1"/>
    <col min="9803" max="10036" width="11.44140625" style="2"/>
    <col min="10037" max="10037" width="8" style="2" customWidth="1"/>
    <col min="10038" max="10038" width="8.6640625" style="2" customWidth="1"/>
    <col min="10039" max="10039" width="19.44140625" style="2" customWidth="1"/>
    <col min="10040" max="10040" width="101.6640625" style="2" customWidth="1"/>
    <col min="10041" max="10041" width="16.6640625" style="2" customWidth="1"/>
    <col min="10042" max="10042" width="16" style="2" customWidth="1"/>
    <col min="10043" max="10043" width="8.5546875" style="2" customWidth="1"/>
    <col min="10044" max="10045" width="8.6640625" style="2" customWidth="1"/>
    <col min="10046" max="10046" width="15.33203125" style="2" customWidth="1"/>
    <col min="10047" max="10047" width="22" style="2" customWidth="1"/>
    <col min="10048" max="10049" width="13.33203125" style="2" customWidth="1"/>
    <col min="10050" max="10050" width="52.6640625" style="2" customWidth="1"/>
    <col min="10051" max="10051" width="24" style="2" customWidth="1"/>
    <col min="10052" max="10052" width="29.33203125" style="2" customWidth="1"/>
    <col min="10053" max="10053" width="9.33203125" style="2" customWidth="1"/>
    <col min="10054" max="10054" width="27.33203125" style="2" customWidth="1"/>
    <col min="10055" max="10055" width="15.44140625" style="2" customWidth="1"/>
    <col min="10056" max="10056" width="16.33203125" style="2" customWidth="1"/>
    <col min="10057" max="10057" width="15.44140625" style="2" customWidth="1"/>
    <col min="10058" max="10058" width="14.33203125" style="2" customWidth="1"/>
    <col min="10059" max="10292" width="11.44140625" style="2"/>
    <col min="10293" max="10293" width="8" style="2" customWidth="1"/>
    <col min="10294" max="10294" width="8.6640625" style="2" customWidth="1"/>
    <col min="10295" max="10295" width="19.44140625" style="2" customWidth="1"/>
    <col min="10296" max="10296" width="101.6640625" style="2" customWidth="1"/>
    <col min="10297" max="10297" width="16.6640625" style="2" customWidth="1"/>
    <col min="10298" max="10298" width="16" style="2" customWidth="1"/>
    <col min="10299" max="10299" width="8.5546875" style="2" customWidth="1"/>
    <col min="10300" max="10301" width="8.6640625" style="2" customWidth="1"/>
    <col min="10302" max="10302" width="15.33203125" style="2" customWidth="1"/>
    <col min="10303" max="10303" width="22" style="2" customWidth="1"/>
    <col min="10304" max="10305" width="13.33203125" style="2" customWidth="1"/>
    <col min="10306" max="10306" width="52.6640625" style="2" customWidth="1"/>
    <col min="10307" max="10307" width="24" style="2" customWidth="1"/>
    <col min="10308" max="10308" width="29.33203125" style="2" customWidth="1"/>
    <col min="10309" max="10309" width="9.33203125" style="2" customWidth="1"/>
    <col min="10310" max="10310" width="27.33203125" style="2" customWidth="1"/>
    <col min="10311" max="10311" width="15.44140625" style="2" customWidth="1"/>
    <col min="10312" max="10312" width="16.33203125" style="2" customWidth="1"/>
    <col min="10313" max="10313" width="15.44140625" style="2" customWidth="1"/>
    <col min="10314" max="10314" width="14.33203125" style="2" customWidth="1"/>
    <col min="10315" max="10548" width="11.44140625" style="2"/>
    <col min="10549" max="10549" width="8" style="2" customWidth="1"/>
    <col min="10550" max="10550" width="8.6640625" style="2" customWidth="1"/>
    <col min="10551" max="10551" width="19.44140625" style="2" customWidth="1"/>
    <col min="10552" max="10552" width="101.6640625" style="2" customWidth="1"/>
    <col min="10553" max="10553" width="16.6640625" style="2" customWidth="1"/>
    <col min="10554" max="10554" width="16" style="2" customWidth="1"/>
    <col min="10555" max="10555" width="8.5546875" style="2" customWidth="1"/>
    <col min="10556" max="10557" width="8.6640625" style="2" customWidth="1"/>
    <col min="10558" max="10558" width="15.33203125" style="2" customWidth="1"/>
    <col min="10559" max="10559" width="22" style="2" customWidth="1"/>
    <col min="10560" max="10561" width="13.33203125" style="2" customWidth="1"/>
    <col min="10562" max="10562" width="52.6640625" style="2" customWidth="1"/>
    <col min="10563" max="10563" width="24" style="2" customWidth="1"/>
    <col min="10564" max="10564" width="29.33203125" style="2" customWidth="1"/>
    <col min="10565" max="10565" width="9.33203125" style="2" customWidth="1"/>
    <col min="10566" max="10566" width="27.33203125" style="2" customWidth="1"/>
    <col min="10567" max="10567" width="15.44140625" style="2" customWidth="1"/>
    <col min="10568" max="10568" width="16.33203125" style="2" customWidth="1"/>
    <col min="10569" max="10569" width="15.44140625" style="2" customWidth="1"/>
    <col min="10570" max="10570" width="14.33203125" style="2" customWidth="1"/>
    <col min="10571" max="10804" width="11.44140625" style="2"/>
    <col min="10805" max="10805" width="8" style="2" customWidth="1"/>
    <col min="10806" max="10806" width="8.6640625" style="2" customWidth="1"/>
    <col min="10807" max="10807" width="19.44140625" style="2" customWidth="1"/>
    <col min="10808" max="10808" width="101.6640625" style="2" customWidth="1"/>
    <col min="10809" max="10809" width="16.6640625" style="2" customWidth="1"/>
    <col min="10810" max="10810" width="16" style="2" customWidth="1"/>
    <col min="10811" max="10811" width="8.5546875" style="2" customWidth="1"/>
    <col min="10812" max="10813" width="8.6640625" style="2" customWidth="1"/>
    <col min="10814" max="10814" width="15.33203125" style="2" customWidth="1"/>
    <col min="10815" max="10815" width="22" style="2" customWidth="1"/>
    <col min="10816" max="10817" width="13.33203125" style="2" customWidth="1"/>
    <col min="10818" max="10818" width="52.6640625" style="2" customWidth="1"/>
    <col min="10819" max="10819" width="24" style="2" customWidth="1"/>
    <col min="10820" max="10820" width="29.33203125" style="2" customWidth="1"/>
    <col min="10821" max="10821" width="9.33203125" style="2" customWidth="1"/>
    <col min="10822" max="10822" width="27.33203125" style="2" customWidth="1"/>
    <col min="10823" max="10823" width="15.44140625" style="2" customWidth="1"/>
    <col min="10824" max="10824" width="16.33203125" style="2" customWidth="1"/>
    <col min="10825" max="10825" width="15.44140625" style="2" customWidth="1"/>
    <col min="10826" max="10826" width="14.33203125" style="2" customWidth="1"/>
    <col min="10827" max="11060" width="11.44140625" style="2"/>
    <col min="11061" max="11061" width="8" style="2" customWidth="1"/>
    <col min="11062" max="11062" width="8.6640625" style="2" customWidth="1"/>
    <col min="11063" max="11063" width="19.44140625" style="2" customWidth="1"/>
    <col min="11064" max="11064" width="101.6640625" style="2" customWidth="1"/>
    <col min="11065" max="11065" width="16.6640625" style="2" customWidth="1"/>
    <col min="11066" max="11066" width="16" style="2" customWidth="1"/>
    <col min="11067" max="11067" width="8.5546875" style="2" customWidth="1"/>
    <col min="11068" max="11069" width="8.6640625" style="2" customWidth="1"/>
    <col min="11070" max="11070" width="15.33203125" style="2" customWidth="1"/>
    <col min="11071" max="11071" width="22" style="2" customWidth="1"/>
    <col min="11072" max="11073" width="13.33203125" style="2" customWidth="1"/>
    <col min="11074" max="11074" width="52.6640625" style="2" customWidth="1"/>
    <col min="11075" max="11075" width="24" style="2" customWidth="1"/>
    <col min="11076" max="11076" width="29.33203125" style="2" customWidth="1"/>
    <col min="11077" max="11077" width="9.33203125" style="2" customWidth="1"/>
    <col min="11078" max="11078" width="27.33203125" style="2" customWidth="1"/>
    <col min="11079" max="11079" width="15.44140625" style="2" customWidth="1"/>
    <col min="11080" max="11080" width="16.33203125" style="2" customWidth="1"/>
    <col min="11081" max="11081" width="15.44140625" style="2" customWidth="1"/>
    <col min="11082" max="11082" width="14.33203125" style="2" customWidth="1"/>
    <col min="11083" max="11316" width="11.44140625" style="2"/>
    <col min="11317" max="11317" width="8" style="2" customWidth="1"/>
    <col min="11318" max="11318" width="8.6640625" style="2" customWidth="1"/>
    <col min="11319" max="11319" width="19.44140625" style="2" customWidth="1"/>
    <col min="11320" max="11320" width="101.6640625" style="2" customWidth="1"/>
    <col min="11321" max="11321" width="16.6640625" style="2" customWidth="1"/>
    <col min="11322" max="11322" width="16" style="2" customWidth="1"/>
    <col min="11323" max="11323" width="8.5546875" style="2" customWidth="1"/>
    <col min="11324" max="11325" width="8.6640625" style="2" customWidth="1"/>
    <col min="11326" max="11326" width="15.33203125" style="2" customWidth="1"/>
    <col min="11327" max="11327" width="22" style="2" customWidth="1"/>
    <col min="11328" max="11329" width="13.33203125" style="2" customWidth="1"/>
    <col min="11330" max="11330" width="52.6640625" style="2" customWidth="1"/>
    <col min="11331" max="11331" width="24" style="2" customWidth="1"/>
    <col min="11332" max="11332" width="29.33203125" style="2" customWidth="1"/>
    <col min="11333" max="11333" width="9.33203125" style="2" customWidth="1"/>
    <col min="11334" max="11334" width="27.33203125" style="2" customWidth="1"/>
    <col min="11335" max="11335" width="15.44140625" style="2" customWidth="1"/>
    <col min="11336" max="11336" width="16.33203125" style="2" customWidth="1"/>
    <col min="11337" max="11337" width="15.44140625" style="2" customWidth="1"/>
    <col min="11338" max="11338" width="14.33203125" style="2" customWidth="1"/>
    <col min="11339" max="11572" width="11.44140625" style="2"/>
    <col min="11573" max="11573" width="8" style="2" customWidth="1"/>
    <col min="11574" max="11574" width="8.6640625" style="2" customWidth="1"/>
    <col min="11575" max="11575" width="19.44140625" style="2" customWidth="1"/>
    <col min="11576" max="11576" width="101.6640625" style="2" customWidth="1"/>
    <col min="11577" max="11577" width="16.6640625" style="2" customWidth="1"/>
    <col min="11578" max="11578" width="16" style="2" customWidth="1"/>
    <col min="11579" max="11579" width="8.5546875" style="2" customWidth="1"/>
    <col min="11580" max="11581" width="8.6640625" style="2" customWidth="1"/>
    <col min="11582" max="11582" width="15.33203125" style="2" customWidth="1"/>
    <col min="11583" max="11583" width="22" style="2" customWidth="1"/>
    <col min="11584" max="11585" width="13.33203125" style="2" customWidth="1"/>
    <col min="11586" max="11586" width="52.6640625" style="2" customWidth="1"/>
    <col min="11587" max="11587" width="24" style="2" customWidth="1"/>
    <col min="11588" max="11588" width="29.33203125" style="2" customWidth="1"/>
    <col min="11589" max="11589" width="9.33203125" style="2" customWidth="1"/>
    <col min="11590" max="11590" width="27.33203125" style="2" customWidth="1"/>
    <col min="11591" max="11591" width="15.44140625" style="2" customWidth="1"/>
    <col min="11592" max="11592" width="16.33203125" style="2" customWidth="1"/>
    <col min="11593" max="11593" width="15.44140625" style="2" customWidth="1"/>
    <col min="11594" max="11594" width="14.33203125" style="2" customWidth="1"/>
    <col min="11595" max="11828" width="11.44140625" style="2"/>
    <col min="11829" max="11829" width="8" style="2" customWidth="1"/>
    <col min="11830" max="11830" width="8.6640625" style="2" customWidth="1"/>
    <col min="11831" max="11831" width="19.44140625" style="2" customWidth="1"/>
    <col min="11832" max="11832" width="101.6640625" style="2" customWidth="1"/>
    <col min="11833" max="11833" width="16.6640625" style="2" customWidth="1"/>
    <col min="11834" max="11834" width="16" style="2" customWidth="1"/>
    <col min="11835" max="11835" width="8.5546875" style="2" customWidth="1"/>
    <col min="11836" max="11837" width="8.6640625" style="2" customWidth="1"/>
    <col min="11838" max="11838" width="15.33203125" style="2" customWidth="1"/>
    <col min="11839" max="11839" width="22" style="2" customWidth="1"/>
    <col min="11840" max="11841" width="13.33203125" style="2" customWidth="1"/>
    <col min="11842" max="11842" width="52.6640625" style="2" customWidth="1"/>
    <col min="11843" max="11843" width="24" style="2" customWidth="1"/>
    <col min="11844" max="11844" width="29.33203125" style="2" customWidth="1"/>
    <col min="11845" max="11845" width="9.33203125" style="2" customWidth="1"/>
    <col min="11846" max="11846" width="27.33203125" style="2" customWidth="1"/>
    <col min="11847" max="11847" width="15.44140625" style="2" customWidth="1"/>
    <col min="11848" max="11848" width="16.33203125" style="2" customWidth="1"/>
    <col min="11849" max="11849" width="15.44140625" style="2" customWidth="1"/>
    <col min="11850" max="11850" width="14.33203125" style="2" customWidth="1"/>
    <col min="11851" max="12084" width="11.44140625" style="2"/>
    <col min="12085" max="12085" width="8" style="2" customWidth="1"/>
    <col min="12086" max="12086" width="8.6640625" style="2" customWidth="1"/>
    <col min="12087" max="12087" width="19.44140625" style="2" customWidth="1"/>
    <col min="12088" max="12088" width="101.6640625" style="2" customWidth="1"/>
    <col min="12089" max="12089" width="16.6640625" style="2" customWidth="1"/>
    <col min="12090" max="12090" width="16" style="2" customWidth="1"/>
    <col min="12091" max="12091" width="8.5546875" style="2" customWidth="1"/>
    <col min="12092" max="12093" width="8.6640625" style="2" customWidth="1"/>
    <col min="12094" max="12094" width="15.33203125" style="2" customWidth="1"/>
    <col min="12095" max="12095" width="22" style="2" customWidth="1"/>
    <col min="12096" max="12097" width="13.33203125" style="2" customWidth="1"/>
    <col min="12098" max="12098" width="52.6640625" style="2" customWidth="1"/>
    <col min="12099" max="12099" width="24" style="2" customWidth="1"/>
    <col min="12100" max="12100" width="29.33203125" style="2" customWidth="1"/>
    <col min="12101" max="12101" width="9.33203125" style="2" customWidth="1"/>
    <col min="12102" max="12102" width="27.33203125" style="2" customWidth="1"/>
    <col min="12103" max="12103" width="15.44140625" style="2" customWidth="1"/>
    <col min="12104" max="12104" width="16.33203125" style="2" customWidth="1"/>
    <col min="12105" max="12105" width="15.44140625" style="2" customWidth="1"/>
    <col min="12106" max="12106" width="14.33203125" style="2" customWidth="1"/>
    <col min="12107" max="12340" width="11.44140625" style="2"/>
    <col min="12341" max="12341" width="8" style="2" customWidth="1"/>
    <col min="12342" max="12342" width="8.6640625" style="2" customWidth="1"/>
    <col min="12343" max="12343" width="19.44140625" style="2" customWidth="1"/>
    <col min="12344" max="12344" width="101.6640625" style="2" customWidth="1"/>
    <col min="12345" max="12345" width="16.6640625" style="2" customWidth="1"/>
    <col min="12346" max="12346" width="16" style="2" customWidth="1"/>
    <col min="12347" max="12347" width="8.5546875" style="2" customWidth="1"/>
    <col min="12348" max="12349" width="8.6640625" style="2" customWidth="1"/>
    <col min="12350" max="12350" width="15.33203125" style="2" customWidth="1"/>
    <col min="12351" max="12351" width="22" style="2" customWidth="1"/>
    <col min="12352" max="12353" width="13.33203125" style="2" customWidth="1"/>
    <col min="12354" max="12354" width="52.6640625" style="2" customWidth="1"/>
    <col min="12355" max="12355" width="24" style="2" customWidth="1"/>
    <col min="12356" max="12356" width="29.33203125" style="2" customWidth="1"/>
    <col min="12357" max="12357" width="9.33203125" style="2" customWidth="1"/>
    <col min="12358" max="12358" width="27.33203125" style="2" customWidth="1"/>
    <col min="12359" max="12359" width="15.44140625" style="2" customWidth="1"/>
    <col min="12360" max="12360" width="16.33203125" style="2" customWidth="1"/>
    <col min="12361" max="12361" width="15.44140625" style="2" customWidth="1"/>
    <col min="12362" max="12362" width="14.33203125" style="2" customWidth="1"/>
    <col min="12363" max="12596" width="11.44140625" style="2"/>
    <col min="12597" max="12597" width="8" style="2" customWidth="1"/>
    <col min="12598" max="12598" width="8.6640625" style="2" customWidth="1"/>
    <col min="12599" max="12599" width="19.44140625" style="2" customWidth="1"/>
    <col min="12600" max="12600" width="101.6640625" style="2" customWidth="1"/>
    <col min="12601" max="12601" width="16.6640625" style="2" customWidth="1"/>
    <col min="12602" max="12602" width="16" style="2" customWidth="1"/>
    <col min="12603" max="12603" width="8.5546875" style="2" customWidth="1"/>
    <col min="12604" max="12605" width="8.6640625" style="2" customWidth="1"/>
    <col min="12606" max="12606" width="15.33203125" style="2" customWidth="1"/>
    <col min="12607" max="12607" width="22" style="2" customWidth="1"/>
    <col min="12608" max="12609" width="13.33203125" style="2" customWidth="1"/>
    <col min="12610" max="12610" width="52.6640625" style="2" customWidth="1"/>
    <col min="12611" max="12611" width="24" style="2" customWidth="1"/>
    <col min="12612" max="12612" width="29.33203125" style="2" customWidth="1"/>
    <col min="12613" max="12613" width="9.33203125" style="2" customWidth="1"/>
    <col min="12614" max="12614" width="27.33203125" style="2" customWidth="1"/>
    <col min="12615" max="12615" width="15.44140625" style="2" customWidth="1"/>
    <col min="12616" max="12616" width="16.33203125" style="2" customWidth="1"/>
    <col min="12617" max="12617" width="15.44140625" style="2" customWidth="1"/>
    <col min="12618" max="12618" width="14.33203125" style="2" customWidth="1"/>
    <col min="12619" max="12852" width="11.44140625" style="2"/>
    <col min="12853" max="12853" width="8" style="2" customWidth="1"/>
    <col min="12854" max="12854" width="8.6640625" style="2" customWidth="1"/>
    <col min="12855" max="12855" width="19.44140625" style="2" customWidth="1"/>
    <col min="12856" max="12856" width="101.6640625" style="2" customWidth="1"/>
    <col min="12857" max="12857" width="16.6640625" style="2" customWidth="1"/>
    <col min="12858" max="12858" width="16" style="2" customWidth="1"/>
    <col min="12859" max="12859" width="8.5546875" style="2" customWidth="1"/>
    <col min="12860" max="12861" width="8.6640625" style="2" customWidth="1"/>
    <col min="12862" max="12862" width="15.33203125" style="2" customWidth="1"/>
    <col min="12863" max="12863" width="22" style="2" customWidth="1"/>
    <col min="12864" max="12865" width="13.33203125" style="2" customWidth="1"/>
    <col min="12866" max="12866" width="52.6640625" style="2" customWidth="1"/>
    <col min="12867" max="12867" width="24" style="2" customWidth="1"/>
    <col min="12868" max="12868" width="29.33203125" style="2" customWidth="1"/>
    <col min="12869" max="12869" width="9.33203125" style="2" customWidth="1"/>
    <col min="12870" max="12870" width="27.33203125" style="2" customWidth="1"/>
    <col min="12871" max="12871" width="15.44140625" style="2" customWidth="1"/>
    <col min="12872" max="12872" width="16.33203125" style="2" customWidth="1"/>
    <col min="12873" max="12873" width="15.44140625" style="2" customWidth="1"/>
    <col min="12874" max="12874" width="14.33203125" style="2" customWidth="1"/>
    <col min="12875" max="13108" width="11.44140625" style="2"/>
    <col min="13109" max="13109" width="8" style="2" customWidth="1"/>
    <col min="13110" max="13110" width="8.6640625" style="2" customWidth="1"/>
    <col min="13111" max="13111" width="19.44140625" style="2" customWidth="1"/>
    <col min="13112" max="13112" width="101.6640625" style="2" customWidth="1"/>
    <col min="13113" max="13113" width="16.6640625" style="2" customWidth="1"/>
    <col min="13114" max="13114" width="16" style="2" customWidth="1"/>
    <col min="13115" max="13115" width="8.5546875" style="2" customWidth="1"/>
    <col min="13116" max="13117" width="8.6640625" style="2" customWidth="1"/>
    <col min="13118" max="13118" width="15.33203125" style="2" customWidth="1"/>
    <col min="13119" max="13119" width="22" style="2" customWidth="1"/>
    <col min="13120" max="13121" width="13.33203125" style="2" customWidth="1"/>
    <col min="13122" max="13122" width="52.6640625" style="2" customWidth="1"/>
    <col min="13123" max="13123" width="24" style="2" customWidth="1"/>
    <col min="13124" max="13124" width="29.33203125" style="2" customWidth="1"/>
    <col min="13125" max="13125" width="9.33203125" style="2" customWidth="1"/>
    <col min="13126" max="13126" width="27.33203125" style="2" customWidth="1"/>
    <col min="13127" max="13127" width="15.44140625" style="2" customWidth="1"/>
    <col min="13128" max="13128" width="16.33203125" style="2" customWidth="1"/>
    <col min="13129" max="13129" width="15.44140625" style="2" customWidth="1"/>
    <col min="13130" max="13130" width="14.33203125" style="2" customWidth="1"/>
    <col min="13131" max="13364" width="11.44140625" style="2"/>
    <col min="13365" max="13365" width="8" style="2" customWidth="1"/>
    <col min="13366" max="13366" width="8.6640625" style="2" customWidth="1"/>
    <col min="13367" max="13367" width="19.44140625" style="2" customWidth="1"/>
    <col min="13368" max="13368" width="101.6640625" style="2" customWidth="1"/>
    <col min="13369" max="13369" width="16.6640625" style="2" customWidth="1"/>
    <col min="13370" max="13370" width="16" style="2" customWidth="1"/>
    <col min="13371" max="13371" width="8.5546875" style="2" customWidth="1"/>
    <col min="13372" max="13373" width="8.6640625" style="2" customWidth="1"/>
    <col min="13374" max="13374" width="15.33203125" style="2" customWidth="1"/>
    <col min="13375" max="13375" width="22" style="2" customWidth="1"/>
    <col min="13376" max="13377" width="13.33203125" style="2" customWidth="1"/>
    <col min="13378" max="13378" width="52.6640625" style="2" customWidth="1"/>
    <col min="13379" max="13379" width="24" style="2" customWidth="1"/>
    <col min="13380" max="13380" width="29.33203125" style="2" customWidth="1"/>
    <col min="13381" max="13381" width="9.33203125" style="2" customWidth="1"/>
    <col min="13382" max="13382" width="27.33203125" style="2" customWidth="1"/>
    <col min="13383" max="13383" width="15.44140625" style="2" customWidth="1"/>
    <col min="13384" max="13384" width="16.33203125" style="2" customWidth="1"/>
    <col min="13385" max="13385" width="15.44140625" style="2" customWidth="1"/>
    <col min="13386" max="13386" width="14.33203125" style="2" customWidth="1"/>
    <col min="13387" max="13620" width="11.44140625" style="2"/>
    <col min="13621" max="13621" width="8" style="2" customWidth="1"/>
    <col min="13622" max="13622" width="8.6640625" style="2" customWidth="1"/>
    <col min="13623" max="13623" width="19.44140625" style="2" customWidth="1"/>
    <col min="13624" max="13624" width="101.6640625" style="2" customWidth="1"/>
    <col min="13625" max="13625" width="16.6640625" style="2" customWidth="1"/>
    <col min="13626" max="13626" width="16" style="2" customWidth="1"/>
    <col min="13627" max="13627" width="8.5546875" style="2" customWidth="1"/>
    <col min="13628" max="13629" width="8.6640625" style="2" customWidth="1"/>
    <col min="13630" max="13630" width="15.33203125" style="2" customWidth="1"/>
    <col min="13631" max="13631" width="22" style="2" customWidth="1"/>
    <col min="13632" max="13633" width="13.33203125" style="2" customWidth="1"/>
    <col min="13634" max="13634" width="52.6640625" style="2" customWidth="1"/>
    <col min="13635" max="13635" width="24" style="2" customWidth="1"/>
    <col min="13636" max="13636" width="29.33203125" style="2" customWidth="1"/>
    <col min="13637" max="13637" width="9.33203125" style="2" customWidth="1"/>
    <col min="13638" max="13638" width="27.33203125" style="2" customWidth="1"/>
    <col min="13639" max="13639" width="15.44140625" style="2" customWidth="1"/>
    <col min="13640" max="13640" width="16.33203125" style="2" customWidth="1"/>
    <col min="13641" max="13641" width="15.44140625" style="2" customWidth="1"/>
    <col min="13642" max="13642" width="14.33203125" style="2" customWidth="1"/>
    <col min="13643" max="13876" width="11.44140625" style="2"/>
    <col min="13877" max="13877" width="8" style="2" customWidth="1"/>
    <col min="13878" max="13878" width="8.6640625" style="2" customWidth="1"/>
    <col min="13879" max="13879" width="19.44140625" style="2" customWidth="1"/>
    <col min="13880" max="13880" width="101.6640625" style="2" customWidth="1"/>
    <col min="13881" max="13881" width="16.6640625" style="2" customWidth="1"/>
    <col min="13882" max="13882" width="16" style="2" customWidth="1"/>
    <col min="13883" max="13883" width="8.5546875" style="2" customWidth="1"/>
    <col min="13884" max="13885" width="8.6640625" style="2" customWidth="1"/>
    <col min="13886" max="13886" width="15.33203125" style="2" customWidth="1"/>
    <col min="13887" max="13887" width="22" style="2" customWidth="1"/>
    <col min="13888" max="13889" width="13.33203125" style="2" customWidth="1"/>
    <col min="13890" max="13890" width="52.6640625" style="2" customWidth="1"/>
    <col min="13891" max="13891" width="24" style="2" customWidth="1"/>
    <col min="13892" max="13892" width="29.33203125" style="2" customWidth="1"/>
    <col min="13893" max="13893" width="9.33203125" style="2" customWidth="1"/>
    <col min="13894" max="13894" width="27.33203125" style="2" customWidth="1"/>
    <col min="13895" max="13895" width="15.44140625" style="2" customWidth="1"/>
    <col min="13896" max="13896" width="16.33203125" style="2" customWidth="1"/>
    <col min="13897" max="13897" width="15.44140625" style="2" customWidth="1"/>
    <col min="13898" max="13898" width="14.33203125" style="2" customWidth="1"/>
    <col min="13899" max="14132" width="11.44140625" style="2"/>
    <col min="14133" max="14133" width="8" style="2" customWidth="1"/>
    <col min="14134" max="14134" width="8.6640625" style="2" customWidth="1"/>
    <col min="14135" max="14135" width="19.44140625" style="2" customWidth="1"/>
    <col min="14136" max="14136" width="101.6640625" style="2" customWidth="1"/>
    <col min="14137" max="14137" width="16.6640625" style="2" customWidth="1"/>
    <col min="14138" max="14138" width="16" style="2" customWidth="1"/>
    <col min="14139" max="14139" width="8.5546875" style="2" customWidth="1"/>
    <col min="14140" max="14141" width="8.6640625" style="2" customWidth="1"/>
    <col min="14142" max="14142" width="15.33203125" style="2" customWidth="1"/>
    <col min="14143" max="14143" width="22" style="2" customWidth="1"/>
    <col min="14144" max="14145" width="13.33203125" style="2" customWidth="1"/>
    <col min="14146" max="14146" width="52.6640625" style="2" customWidth="1"/>
    <col min="14147" max="14147" width="24" style="2" customWidth="1"/>
    <col min="14148" max="14148" width="29.33203125" style="2" customWidth="1"/>
    <col min="14149" max="14149" width="9.33203125" style="2" customWidth="1"/>
    <col min="14150" max="14150" width="27.33203125" style="2" customWidth="1"/>
    <col min="14151" max="14151" width="15.44140625" style="2" customWidth="1"/>
    <col min="14152" max="14152" width="16.33203125" style="2" customWidth="1"/>
    <col min="14153" max="14153" width="15.44140625" style="2" customWidth="1"/>
    <col min="14154" max="14154" width="14.33203125" style="2" customWidth="1"/>
    <col min="14155" max="14388" width="11.44140625" style="2"/>
    <col min="14389" max="14389" width="8" style="2" customWidth="1"/>
    <col min="14390" max="14390" width="8.6640625" style="2" customWidth="1"/>
    <col min="14391" max="14391" width="19.44140625" style="2" customWidth="1"/>
    <col min="14392" max="14392" width="101.6640625" style="2" customWidth="1"/>
    <col min="14393" max="14393" width="16.6640625" style="2" customWidth="1"/>
    <col min="14394" max="14394" width="16" style="2" customWidth="1"/>
    <col min="14395" max="14395" width="8.5546875" style="2" customWidth="1"/>
    <col min="14396" max="14397" width="8.6640625" style="2" customWidth="1"/>
    <col min="14398" max="14398" width="15.33203125" style="2" customWidth="1"/>
    <col min="14399" max="14399" width="22" style="2" customWidth="1"/>
    <col min="14400" max="14401" width="13.33203125" style="2" customWidth="1"/>
    <col min="14402" max="14402" width="52.6640625" style="2" customWidth="1"/>
    <col min="14403" max="14403" width="24" style="2" customWidth="1"/>
    <col min="14404" max="14404" width="29.33203125" style="2" customWidth="1"/>
    <col min="14405" max="14405" width="9.33203125" style="2" customWidth="1"/>
    <col min="14406" max="14406" width="27.33203125" style="2" customWidth="1"/>
    <col min="14407" max="14407" width="15.44140625" style="2" customWidth="1"/>
    <col min="14408" max="14408" width="16.33203125" style="2" customWidth="1"/>
    <col min="14409" max="14409" width="15.44140625" style="2" customWidth="1"/>
    <col min="14410" max="14410" width="14.33203125" style="2" customWidth="1"/>
    <col min="14411" max="14644" width="11.44140625" style="2"/>
    <col min="14645" max="14645" width="8" style="2" customWidth="1"/>
    <col min="14646" max="14646" width="8.6640625" style="2" customWidth="1"/>
    <col min="14647" max="14647" width="19.44140625" style="2" customWidth="1"/>
    <col min="14648" max="14648" width="101.6640625" style="2" customWidth="1"/>
    <col min="14649" max="14649" width="16.6640625" style="2" customWidth="1"/>
    <col min="14650" max="14650" width="16" style="2" customWidth="1"/>
    <col min="14651" max="14651" width="8.5546875" style="2" customWidth="1"/>
    <col min="14652" max="14653" width="8.6640625" style="2" customWidth="1"/>
    <col min="14654" max="14654" width="15.33203125" style="2" customWidth="1"/>
    <col min="14655" max="14655" width="22" style="2" customWidth="1"/>
    <col min="14656" max="14657" width="13.33203125" style="2" customWidth="1"/>
    <col min="14658" max="14658" width="52.6640625" style="2" customWidth="1"/>
    <col min="14659" max="14659" width="24" style="2" customWidth="1"/>
    <col min="14660" max="14660" width="29.33203125" style="2" customWidth="1"/>
    <col min="14661" max="14661" width="9.33203125" style="2" customWidth="1"/>
    <col min="14662" max="14662" width="27.33203125" style="2" customWidth="1"/>
    <col min="14663" max="14663" width="15.44140625" style="2" customWidth="1"/>
    <col min="14664" max="14664" width="16.33203125" style="2" customWidth="1"/>
    <col min="14665" max="14665" width="15.44140625" style="2" customWidth="1"/>
    <col min="14666" max="14666" width="14.33203125" style="2" customWidth="1"/>
    <col min="14667" max="14900" width="11.44140625" style="2"/>
    <col min="14901" max="14901" width="8" style="2" customWidth="1"/>
    <col min="14902" max="14902" width="8.6640625" style="2" customWidth="1"/>
    <col min="14903" max="14903" width="19.44140625" style="2" customWidth="1"/>
    <col min="14904" max="14904" width="101.6640625" style="2" customWidth="1"/>
    <col min="14905" max="14905" width="16.6640625" style="2" customWidth="1"/>
    <col min="14906" max="14906" width="16" style="2" customWidth="1"/>
    <col min="14907" max="14907" width="8.5546875" style="2" customWidth="1"/>
    <col min="14908" max="14909" width="8.6640625" style="2" customWidth="1"/>
    <col min="14910" max="14910" width="15.33203125" style="2" customWidth="1"/>
    <col min="14911" max="14911" width="22" style="2" customWidth="1"/>
    <col min="14912" max="14913" width="13.33203125" style="2" customWidth="1"/>
    <col min="14914" max="14914" width="52.6640625" style="2" customWidth="1"/>
    <col min="14915" max="14915" width="24" style="2" customWidth="1"/>
    <col min="14916" max="14916" width="29.33203125" style="2" customWidth="1"/>
    <col min="14917" max="14917" width="9.33203125" style="2" customWidth="1"/>
    <col min="14918" max="14918" width="27.33203125" style="2" customWidth="1"/>
    <col min="14919" max="14919" width="15.44140625" style="2" customWidth="1"/>
    <col min="14920" max="14920" width="16.33203125" style="2" customWidth="1"/>
    <col min="14921" max="14921" width="15.44140625" style="2" customWidth="1"/>
    <col min="14922" max="14922" width="14.33203125" style="2" customWidth="1"/>
    <col min="14923" max="15156" width="11.44140625" style="2"/>
    <col min="15157" max="15157" width="8" style="2" customWidth="1"/>
    <col min="15158" max="15158" width="8.6640625" style="2" customWidth="1"/>
    <col min="15159" max="15159" width="19.44140625" style="2" customWidth="1"/>
    <col min="15160" max="15160" width="101.6640625" style="2" customWidth="1"/>
    <col min="15161" max="15161" width="16.6640625" style="2" customWidth="1"/>
    <col min="15162" max="15162" width="16" style="2" customWidth="1"/>
    <col min="15163" max="15163" width="8.5546875" style="2" customWidth="1"/>
    <col min="15164" max="15165" width="8.6640625" style="2" customWidth="1"/>
    <col min="15166" max="15166" width="15.33203125" style="2" customWidth="1"/>
    <col min="15167" max="15167" width="22" style="2" customWidth="1"/>
    <col min="15168" max="15169" width="13.33203125" style="2" customWidth="1"/>
    <col min="15170" max="15170" width="52.6640625" style="2" customWidth="1"/>
    <col min="15171" max="15171" width="24" style="2" customWidth="1"/>
    <col min="15172" max="15172" width="29.33203125" style="2" customWidth="1"/>
    <col min="15173" max="15173" width="9.33203125" style="2" customWidth="1"/>
    <col min="15174" max="15174" width="27.33203125" style="2" customWidth="1"/>
    <col min="15175" max="15175" width="15.44140625" style="2" customWidth="1"/>
    <col min="15176" max="15176" width="16.33203125" style="2" customWidth="1"/>
    <col min="15177" max="15177" width="15.44140625" style="2" customWidth="1"/>
    <col min="15178" max="15178" width="14.33203125" style="2" customWidth="1"/>
    <col min="15179" max="15412" width="11.44140625" style="2"/>
    <col min="15413" max="15413" width="8" style="2" customWidth="1"/>
    <col min="15414" max="15414" width="8.6640625" style="2" customWidth="1"/>
    <col min="15415" max="15415" width="19.44140625" style="2" customWidth="1"/>
    <col min="15416" max="15416" width="101.6640625" style="2" customWidth="1"/>
    <col min="15417" max="15417" width="16.6640625" style="2" customWidth="1"/>
    <col min="15418" max="15418" width="16" style="2" customWidth="1"/>
    <col min="15419" max="15419" width="8.5546875" style="2" customWidth="1"/>
    <col min="15420" max="15421" width="8.6640625" style="2" customWidth="1"/>
    <col min="15422" max="15422" width="15.33203125" style="2" customWidth="1"/>
    <col min="15423" max="15423" width="22" style="2" customWidth="1"/>
    <col min="15424" max="15425" width="13.33203125" style="2" customWidth="1"/>
    <col min="15426" max="15426" width="52.6640625" style="2" customWidth="1"/>
    <col min="15427" max="15427" width="24" style="2" customWidth="1"/>
    <col min="15428" max="15428" width="29.33203125" style="2" customWidth="1"/>
    <col min="15429" max="15429" width="9.33203125" style="2" customWidth="1"/>
    <col min="15430" max="15430" width="27.33203125" style="2" customWidth="1"/>
    <col min="15431" max="15431" width="15.44140625" style="2" customWidth="1"/>
    <col min="15432" max="15432" width="16.33203125" style="2" customWidth="1"/>
    <col min="15433" max="15433" width="15.44140625" style="2" customWidth="1"/>
    <col min="15434" max="15434" width="14.33203125" style="2" customWidth="1"/>
    <col min="15435" max="15668" width="11.44140625" style="2"/>
    <col min="15669" max="15669" width="8" style="2" customWidth="1"/>
    <col min="15670" max="15670" width="8.6640625" style="2" customWidth="1"/>
    <col min="15671" max="15671" width="19.44140625" style="2" customWidth="1"/>
    <col min="15672" max="15672" width="101.6640625" style="2" customWidth="1"/>
    <col min="15673" max="15673" width="16.6640625" style="2" customWidth="1"/>
    <col min="15674" max="15674" width="16" style="2" customWidth="1"/>
    <col min="15675" max="15675" width="8.5546875" style="2" customWidth="1"/>
    <col min="15676" max="15677" width="8.6640625" style="2" customWidth="1"/>
    <col min="15678" max="15678" width="15.33203125" style="2" customWidth="1"/>
    <col min="15679" max="15679" width="22" style="2" customWidth="1"/>
    <col min="15680" max="15681" width="13.33203125" style="2" customWidth="1"/>
    <col min="15682" max="15682" width="52.6640625" style="2" customWidth="1"/>
    <col min="15683" max="15683" width="24" style="2" customWidth="1"/>
    <col min="15684" max="15684" width="29.33203125" style="2" customWidth="1"/>
    <col min="15685" max="15685" width="9.33203125" style="2" customWidth="1"/>
    <col min="15686" max="15686" width="27.33203125" style="2" customWidth="1"/>
    <col min="15687" max="15687" width="15.44140625" style="2" customWidth="1"/>
    <col min="15688" max="15688" width="16.33203125" style="2" customWidth="1"/>
    <col min="15689" max="15689" width="15.44140625" style="2" customWidth="1"/>
    <col min="15690" max="15690" width="14.33203125" style="2" customWidth="1"/>
    <col min="15691" max="15924" width="11.44140625" style="2"/>
    <col min="15925" max="15925" width="8" style="2" customWidth="1"/>
    <col min="15926" max="15926" width="8.6640625" style="2" customWidth="1"/>
    <col min="15927" max="15927" width="19.44140625" style="2" customWidth="1"/>
    <col min="15928" max="15928" width="101.6640625" style="2" customWidth="1"/>
    <col min="15929" max="15929" width="16.6640625" style="2" customWidth="1"/>
    <col min="15930" max="15930" width="16" style="2" customWidth="1"/>
    <col min="15931" max="15931" width="8.5546875" style="2" customWidth="1"/>
    <col min="15932" max="15933" width="8.6640625" style="2" customWidth="1"/>
    <col min="15934" max="15934" width="15.33203125" style="2" customWidth="1"/>
    <col min="15935" max="15935" width="22" style="2" customWidth="1"/>
    <col min="15936" max="15937" width="13.33203125" style="2" customWidth="1"/>
    <col min="15938" max="15938" width="52.6640625" style="2" customWidth="1"/>
    <col min="15939" max="15939" width="24" style="2" customWidth="1"/>
    <col min="15940" max="15940" width="29.33203125" style="2" customWidth="1"/>
    <col min="15941" max="15941" width="9.33203125" style="2" customWidth="1"/>
    <col min="15942" max="15942" width="27.33203125" style="2" customWidth="1"/>
    <col min="15943" max="15943" width="15.44140625" style="2" customWidth="1"/>
    <col min="15944" max="15944" width="16.33203125" style="2" customWidth="1"/>
    <col min="15945" max="15945" width="15.44140625" style="2" customWidth="1"/>
    <col min="15946" max="15946" width="14.33203125" style="2" customWidth="1"/>
    <col min="15947" max="16180" width="11.44140625" style="2"/>
    <col min="16181" max="16181" width="8" style="2" customWidth="1"/>
    <col min="16182" max="16182" width="8.6640625" style="2" customWidth="1"/>
    <col min="16183" max="16183" width="19.44140625" style="2" customWidth="1"/>
    <col min="16184" max="16184" width="101.6640625" style="2" customWidth="1"/>
    <col min="16185" max="16185" width="16.6640625" style="2" customWidth="1"/>
    <col min="16186" max="16186" width="16" style="2" customWidth="1"/>
    <col min="16187" max="16187" width="8.5546875" style="2" customWidth="1"/>
    <col min="16188" max="16189" width="8.6640625" style="2" customWidth="1"/>
    <col min="16190" max="16190" width="15.33203125" style="2" customWidth="1"/>
    <col min="16191" max="16191" width="22" style="2" customWidth="1"/>
    <col min="16192" max="16193" width="13.33203125" style="2" customWidth="1"/>
    <col min="16194" max="16194" width="52.6640625" style="2" customWidth="1"/>
    <col min="16195" max="16195" width="24" style="2" customWidth="1"/>
    <col min="16196" max="16196" width="29.33203125" style="2" customWidth="1"/>
    <col min="16197" max="16197" width="9.33203125" style="2" customWidth="1"/>
    <col min="16198" max="16198" width="27.33203125" style="2" customWidth="1"/>
    <col min="16199" max="16199" width="15.44140625" style="2" customWidth="1"/>
    <col min="16200" max="16200" width="16.33203125" style="2" customWidth="1"/>
    <col min="16201" max="16201" width="15.44140625" style="2" customWidth="1"/>
    <col min="16202" max="16202" width="14.33203125" style="2" customWidth="1"/>
    <col min="16203" max="16384" width="11.44140625" style="2"/>
  </cols>
  <sheetData>
    <row r="1" spans="1:96" s="53" customFormat="1" ht="90" customHeight="1" x14ac:dyDescent="0.3">
      <c r="A1" s="673" t="s">
        <v>0</v>
      </c>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4"/>
      <c r="AP1" s="674"/>
      <c r="AQ1" s="674"/>
      <c r="AR1" s="674"/>
      <c r="AS1" s="674"/>
      <c r="AT1" s="674"/>
      <c r="AU1" s="674"/>
      <c r="AV1" s="674"/>
      <c r="AW1" s="674"/>
      <c r="AX1" s="674"/>
      <c r="AY1" s="674"/>
      <c r="AZ1" s="674"/>
      <c r="BA1" s="674"/>
      <c r="BB1" s="674"/>
      <c r="BC1" s="674"/>
      <c r="BD1" s="674"/>
      <c r="BE1" s="674"/>
      <c r="BF1" s="674"/>
      <c r="BG1" s="674"/>
      <c r="BH1" s="674"/>
      <c r="BI1" s="674"/>
      <c r="BJ1" s="674"/>
      <c r="BK1" s="674"/>
      <c r="BL1" s="674"/>
      <c r="BM1" s="674"/>
      <c r="BN1" s="674"/>
      <c r="BP1" s="81"/>
      <c r="BQ1" s="81"/>
      <c r="BW1" s="89"/>
      <c r="BX1" s="91"/>
      <c r="BY1" s="91"/>
      <c r="BZ1" s="91"/>
      <c r="CA1" s="91"/>
      <c r="CB1" s="91"/>
      <c r="CC1" s="90"/>
      <c r="CD1" s="91"/>
      <c r="CE1" s="81"/>
      <c r="CF1" s="81"/>
      <c r="CG1" s="363"/>
      <c r="CH1" s="363"/>
      <c r="CI1" s="416"/>
      <c r="CJ1" s="416"/>
      <c r="CK1" s="657" t="s">
        <v>331</v>
      </c>
      <c r="CL1" s="657"/>
      <c r="CM1" s="657"/>
      <c r="CN1" s="657"/>
      <c r="CO1" s="657"/>
      <c r="CP1" s="657"/>
      <c r="CQ1" s="76"/>
      <c r="CR1" s="76"/>
    </row>
    <row r="2" spans="1:96" s="1" customFormat="1" ht="82.2" customHeight="1" x14ac:dyDescent="0.55000000000000004">
      <c r="A2" s="671" t="s">
        <v>1</v>
      </c>
      <c r="B2" s="672"/>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c r="AI2" s="672"/>
      <c r="AJ2" s="672"/>
      <c r="AK2" s="672"/>
      <c r="AL2" s="672"/>
      <c r="AM2" s="672"/>
      <c r="AN2" s="672"/>
      <c r="AO2" s="672"/>
      <c r="AP2" s="672"/>
      <c r="AQ2" s="672"/>
      <c r="AR2" s="672"/>
      <c r="AS2" s="672"/>
      <c r="AT2" s="672"/>
      <c r="AU2" s="672"/>
      <c r="AV2" s="672"/>
      <c r="AW2" s="672"/>
      <c r="AX2" s="672"/>
      <c r="AY2" s="672"/>
      <c r="AZ2" s="672"/>
      <c r="BA2" s="672"/>
      <c r="BB2" s="672"/>
      <c r="BC2" s="672"/>
      <c r="BD2" s="672"/>
      <c r="BE2" s="672"/>
      <c r="BF2" s="672"/>
      <c r="BG2" s="672"/>
      <c r="BH2" s="672"/>
      <c r="BI2" s="672"/>
      <c r="BJ2" s="672"/>
      <c r="BK2" s="672"/>
      <c r="BL2" s="672"/>
      <c r="BM2" s="672"/>
      <c r="BN2" s="672"/>
      <c r="BP2" s="82"/>
      <c r="BQ2" s="82"/>
      <c r="BW2" s="92"/>
      <c r="BX2" s="94"/>
      <c r="BY2" s="94"/>
      <c r="BZ2" s="94"/>
      <c r="CA2" s="94"/>
      <c r="CB2" s="94"/>
      <c r="CC2" s="93"/>
      <c r="CD2" s="94"/>
      <c r="CE2" s="82"/>
      <c r="CF2" s="82"/>
      <c r="CG2" s="417"/>
      <c r="CH2" s="417"/>
      <c r="CI2" s="418"/>
      <c r="CJ2" s="418"/>
      <c r="CK2" s="3"/>
      <c r="CL2" s="3"/>
      <c r="CM2" s="60"/>
      <c r="CN2" s="60"/>
      <c r="CO2" s="60"/>
      <c r="CP2" s="60"/>
      <c r="CQ2" s="76"/>
      <c r="CR2" s="76"/>
    </row>
    <row r="3" spans="1:96" ht="40.950000000000003" customHeight="1" x14ac:dyDescent="0.35">
      <c r="A3" s="675" t="s">
        <v>2</v>
      </c>
      <c r="B3" s="675"/>
      <c r="C3" s="675"/>
      <c r="D3" s="675"/>
      <c r="E3" s="675"/>
      <c r="F3" s="675"/>
      <c r="G3" s="675"/>
      <c r="H3" s="675"/>
      <c r="I3" s="676"/>
      <c r="J3" s="675"/>
      <c r="K3" s="675"/>
      <c r="L3" s="675"/>
      <c r="M3" s="675"/>
      <c r="N3" s="675"/>
      <c r="O3" s="675"/>
      <c r="P3" s="675"/>
      <c r="Q3" s="675"/>
      <c r="R3" s="677" t="s">
        <v>3</v>
      </c>
      <c r="S3" s="677"/>
      <c r="T3" s="677"/>
      <c r="U3" s="678" t="s">
        <v>4</v>
      </c>
      <c r="V3" s="678"/>
      <c r="W3" s="678"/>
      <c r="X3" s="678"/>
      <c r="Y3" s="644" t="s">
        <v>5</v>
      </c>
      <c r="Z3" s="645"/>
      <c r="AA3" s="645"/>
      <c r="AB3" s="645"/>
      <c r="AC3" s="645"/>
      <c r="AD3" s="645"/>
      <c r="AE3" s="645"/>
      <c r="AF3" s="645"/>
      <c r="AG3" s="645"/>
      <c r="AH3" s="646"/>
      <c r="AI3" s="637" t="s">
        <v>396</v>
      </c>
      <c r="AJ3" s="638"/>
      <c r="AK3" s="637" t="s">
        <v>402</v>
      </c>
      <c r="AL3" s="638"/>
      <c r="AM3" s="633" t="s">
        <v>393</v>
      </c>
      <c r="AN3" s="637" t="s">
        <v>427</v>
      </c>
      <c r="AO3" s="638"/>
      <c r="AP3" s="633" t="s">
        <v>393</v>
      </c>
      <c r="AQ3" s="637" t="s">
        <v>453</v>
      </c>
      <c r="AR3" s="638"/>
      <c r="AS3" s="633" t="s">
        <v>393</v>
      </c>
      <c r="AT3" s="637" t="s">
        <v>478</v>
      </c>
      <c r="AU3" s="638"/>
      <c r="AV3" s="633" t="s">
        <v>393</v>
      </c>
      <c r="AW3" s="637" t="s">
        <v>494</v>
      </c>
      <c r="AX3" s="638"/>
      <c r="AY3" s="633" t="s">
        <v>393</v>
      </c>
      <c r="AZ3" s="637" t="s">
        <v>530</v>
      </c>
      <c r="BA3" s="638"/>
      <c r="BB3" s="705" t="s">
        <v>393</v>
      </c>
      <c r="BC3" s="637" t="s">
        <v>545</v>
      </c>
      <c r="BD3" s="638"/>
      <c r="BE3" s="705" t="s">
        <v>393</v>
      </c>
      <c r="BF3" s="637" t="s">
        <v>985</v>
      </c>
      <c r="BG3" s="638"/>
      <c r="BH3" s="705" t="s">
        <v>393</v>
      </c>
      <c r="BI3" s="707" t="s">
        <v>1051</v>
      </c>
      <c r="BJ3" s="708"/>
      <c r="BK3" s="702" t="s">
        <v>393</v>
      </c>
      <c r="BL3" s="688" t="s">
        <v>6</v>
      </c>
      <c r="BM3" s="687"/>
      <c r="BN3" s="687"/>
      <c r="BO3" s="668" t="s">
        <v>517</v>
      </c>
      <c r="BP3" s="689"/>
      <c r="BQ3" s="689"/>
      <c r="BR3" s="669"/>
      <c r="BS3" s="568"/>
      <c r="BT3" s="568"/>
      <c r="BU3" s="568"/>
      <c r="BV3" s="568"/>
      <c r="BW3" s="664" t="s">
        <v>386</v>
      </c>
      <c r="BX3" s="665"/>
      <c r="BY3" s="665"/>
      <c r="BZ3" s="665"/>
      <c r="CA3" s="665"/>
      <c r="CB3" s="665"/>
      <c r="CC3" s="666"/>
      <c r="CD3" s="665"/>
      <c r="CE3" s="667"/>
      <c r="CF3" s="778"/>
      <c r="CG3" s="694" t="s">
        <v>442</v>
      </c>
      <c r="CH3" s="694" t="s">
        <v>972</v>
      </c>
      <c r="CI3" s="698" t="s">
        <v>540</v>
      </c>
      <c r="CJ3" s="698" t="s">
        <v>980</v>
      </c>
      <c r="CK3" s="658" t="s">
        <v>465</v>
      </c>
      <c r="CL3" s="658" t="s">
        <v>332</v>
      </c>
      <c r="CM3" s="659" t="s">
        <v>325</v>
      </c>
      <c r="CN3" s="659" t="s">
        <v>326</v>
      </c>
      <c r="CO3" s="659" t="s">
        <v>327</v>
      </c>
      <c r="CP3" s="659" t="s">
        <v>330</v>
      </c>
      <c r="CQ3" s="658" t="s">
        <v>442</v>
      </c>
      <c r="CR3" s="684" t="s">
        <v>471</v>
      </c>
    </row>
    <row r="4" spans="1:96" s="3" customFormat="1" ht="52.5" customHeight="1" x14ac:dyDescent="0.3">
      <c r="A4" s="636" t="s">
        <v>906</v>
      </c>
      <c r="B4" s="636" t="s">
        <v>8</v>
      </c>
      <c r="C4" s="636" t="s">
        <v>9</v>
      </c>
      <c r="D4" s="636" t="s">
        <v>10</v>
      </c>
      <c r="E4" s="636" t="s">
        <v>11</v>
      </c>
      <c r="F4" s="636" t="s">
        <v>12</v>
      </c>
      <c r="G4" s="636" t="s">
        <v>13</v>
      </c>
      <c r="H4" s="681" t="s">
        <v>568</v>
      </c>
      <c r="I4" s="636" t="s">
        <v>569</v>
      </c>
      <c r="J4" s="636" t="s">
        <v>14</v>
      </c>
      <c r="K4" s="636" t="s">
        <v>15</v>
      </c>
      <c r="L4" s="679" t="s">
        <v>16</v>
      </c>
      <c r="M4" s="679" t="s">
        <v>17</v>
      </c>
      <c r="N4" s="679" t="s">
        <v>18</v>
      </c>
      <c r="O4" s="679" t="s">
        <v>19</v>
      </c>
      <c r="P4" s="679" t="s">
        <v>20</v>
      </c>
      <c r="Q4" s="679" t="s">
        <v>21</v>
      </c>
      <c r="R4" s="643" t="s">
        <v>22</v>
      </c>
      <c r="S4" s="643" t="s">
        <v>23</v>
      </c>
      <c r="T4" s="643" t="s">
        <v>24</v>
      </c>
      <c r="U4" s="680" t="s">
        <v>25</v>
      </c>
      <c r="V4" s="680" t="s">
        <v>26</v>
      </c>
      <c r="W4" s="680" t="s">
        <v>27</v>
      </c>
      <c r="X4" s="680" t="s">
        <v>28</v>
      </c>
      <c r="Y4" s="647" t="s">
        <v>29</v>
      </c>
      <c r="Z4" s="648" t="s">
        <v>454</v>
      </c>
      <c r="AA4" s="649" t="s">
        <v>30</v>
      </c>
      <c r="AB4" s="649"/>
      <c r="AC4" s="649"/>
      <c r="AD4" s="649"/>
      <c r="AE4" s="656" t="s">
        <v>392</v>
      </c>
      <c r="AF4" s="656"/>
      <c r="AG4" s="656"/>
      <c r="AH4" s="656"/>
      <c r="AI4" s="639"/>
      <c r="AJ4" s="640"/>
      <c r="AK4" s="639"/>
      <c r="AL4" s="640"/>
      <c r="AM4" s="634"/>
      <c r="AN4" s="639"/>
      <c r="AO4" s="640"/>
      <c r="AP4" s="634"/>
      <c r="AQ4" s="639"/>
      <c r="AR4" s="640"/>
      <c r="AS4" s="634"/>
      <c r="AT4" s="639"/>
      <c r="AU4" s="640"/>
      <c r="AV4" s="634"/>
      <c r="AW4" s="639"/>
      <c r="AX4" s="640"/>
      <c r="AY4" s="634"/>
      <c r="AZ4" s="639"/>
      <c r="BA4" s="640"/>
      <c r="BB4" s="704"/>
      <c r="BC4" s="639"/>
      <c r="BD4" s="640"/>
      <c r="BE4" s="704"/>
      <c r="BF4" s="639"/>
      <c r="BG4" s="640"/>
      <c r="BH4" s="704"/>
      <c r="BI4" s="709"/>
      <c r="BJ4" s="710"/>
      <c r="BK4" s="703"/>
      <c r="BL4" s="688"/>
      <c r="BM4" s="687"/>
      <c r="BN4" s="687"/>
      <c r="BO4" s="668">
        <v>2025</v>
      </c>
      <c r="BP4" s="691"/>
      <c r="BQ4" s="668">
        <v>2026</v>
      </c>
      <c r="BR4" s="669"/>
      <c r="BS4" s="668">
        <v>2027</v>
      </c>
      <c r="BT4" s="669"/>
      <c r="BU4" s="113">
        <v>2028</v>
      </c>
      <c r="BV4" s="113">
        <v>2029</v>
      </c>
      <c r="BW4" s="662" t="s">
        <v>390</v>
      </c>
      <c r="BX4" s="663"/>
      <c r="BY4" s="408">
        <v>2026</v>
      </c>
      <c r="BZ4" s="408">
        <v>2027</v>
      </c>
      <c r="CA4" s="408">
        <v>2028</v>
      </c>
      <c r="CB4" s="408">
        <v>2029</v>
      </c>
      <c r="CC4" s="662" t="s">
        <v>391</v>
      </c>
      <c r="CD4" s="663"/>
      <c r="CE4" s="406" t="s">
        <v>509</v>
      </c>
      <c r="CF4" s="779"/>
      <c r="CG4" s="695"/>
      <c r="CH4" s="695"/>
      <c r="CI4" s="699"/>
      <c r="CJ4" s="699"/>
      <c r="CK4" s="658"/>
      <c r="CL4" s="658"/>
      <c r="CM4" s="660"/>
      <c r="CN4" s="660"/>
      <c r="CO4" s="660"/>
      <c r="CP4" s="660"/>
      <c r="CQ4" s="658"/>
      <c r="CR4" s="685"/>
    </row>
    <row r="5" spans="1:96" s="3" customFormat="1" ht="49.2" customHeight="1" x14ac:dyDescent="0.3">
      <c r="A5" s="636"/>
      <c r="B5" s="636"/>
      <c r="C5" s="636"/>
      <c r="D5" s="636"/>
      <c r="E5" s="636"/>
      <c r="F5" s="636"/>
      <c r="G5" s="636"/>
      <c r="H5" s="682"/>
      <c r="I5" s="636"/>
      <c r="J5" s="636"/>
      <c r="K5" s="636"/>
      <c r="L5" s="679"/>
      <c r="M5" s="679"/>
      <c r="N5" s="679"/>
      <c r="O5" s="679"/>
      <c r="P5" s="679"/>
      <c r="Q5" s="679"/>
      <c r="R5" s="643"/>
      <c r="S5" s="643"/>
      <c r="T5" s="643"/>
      <c r="U5" s="680"/>
      <c r="V5" s="680"/>
      <c r="W5" s="680"/>
      <c r="X5" s="680"/>
      <c r="Y5" s="647"/>
      <c r="Z5" s="648"/>
      <c r="AA5" s="649"/>
      <c r="AB5" s="649"/>
      <c r="AC5" s="649"/>
      <c r="AD5" s="649"/>
      <c r="AE5" s="656"/>
      <c r="AF5" s="656"/>
      <c r="AG5" s="656"/>
      <c r="AH5" s="656"/>
      <c r="AI5" s="641"/>
      <c r="AJ5" s="642"/>
      <c r="AK5" s="641"/>
      <c r="AL5" s="642"/>
      <c r="AM5" s="634"/>
      <c r="AN5" s="641"/>
      <c r="AO5" s="642"/>
      <c r="AP5" s="634"/>
      <c r="AQ5" s="641"/>
      <c r="AR5" s="642"/>
      <c r="AS5" s="634"/>
      <c r="AT5" s="641"/>
      <c r="AU5" s="642"/>
      <c r="AV5" s="634"/>
      <c r="AW5" s="641"/>
      <c r="AX5" s="642"/>
      <c r="AY5" s="634"/>
      <c r="AZ5" s="641"/>
      <c r="BA5" s="642"/>
      <c r="BB5" s="704"/>
      <c r="BC5" s="641"/>
      <c r="BD5" s="642"/>
      <c r="BE5" s="704"/>
      <c r="BF5" s="641"/>
      <c r="BG5" s="642"/>
      <c r="BH5" s="704"/>
      <c r="BI5" s="711"/>
      <c r="BJ5" s="712"/>
      <c r="BK5" s="703"/>
      <c r="BL5" s="688"/>
      <c r="BM5" s="687"/>
      <c r="BN5" s="687"/>
      <c r="BO5" s="670" t="s">
        <v>383</v>
      </c>
      <c r="BP5" s="690" t="s">
        <v>384</v>
      </c>
      <c r="BQ5" s="670" t="s">
        <v>383</v>
      </c>
      <c r="BR5" s="670" t="s">
        <v>384</v>
      </c>
      <c r="BS5" s="670" t="s">
        <v>383</v>
      </c>
      <c r="BT5" s="670" t="s">
        <v>384</v>
      </c>
      <c r="BU5" s="670" t="s">
        <v>383</v>
      </c>
      <c r="BV5" s="670" t="s">
        <v>384</v>
      </c>
      <c r="BW5" s="662" t="s">
        <v>383</v>
      </c>
      <c r="BX5" s="663" t="s">
        <v>384</v>
      </c>
      <c r="BY5" s="692" t="s">
        <v>384</v>
      </c>
      <c r="BZ5" s="565"/>
      <c r="CA5" s="565"/>
      <c r="CB5" s="565"/>
      <c r="CC5" s="662" t="s">
        <v>383</v>
      </c>
      <c r="CD5" s="663" t="s">
        <v>384</v>
      </c>
      <c r="CE5" s="663" t="s">
        <v>384</v>
      </c>
      <c r="CF5" s="779"/>
      <c r="CG5" s="696"/>
      <c r="CH5" s="696"/>
      <c r="CI5" s="700"/>
      <c r="CJ5" s="700"/>
      <c r="CK5" s="658"/>
      <c r="CL5" s="658"/>
      <c r="CM5" s="660"/>
      <c r="CN5" s="660"/>
      <c r="CO5" s="660"/>
      <c r="CP5" s="660"/>
      <c r="CQ5" s="658"/>
      <c r="CR5" s="685"/>
    </row>
    <row r="6" spans="1:96" s="3" customFormat="1" ht="42.6" customHeight="1" x14ac:dyDescent="0.3">
      <c r="A6" s="636"/>
      <c r="B6" s="636"/>
      <c r="C6" s="636"/>
      <c r="D6" s="636"/>
      <c r="E6" s="636"/>
      <c r="F6" s="636"/>
      <c r="G6" s="636"/>
      <c r="H6" s="682"/>
      <c r="I6" s="636"/>
      <c r="J6" s="636"/>
      <c r="K6" s="636"/>
      <c r="L6" s="679"/>
      <c r="M6" s="679"/>
      <c r="N6" s="679"/>
      <c r="O6" s="679"/>
      <c r="P6" s="679"/>
      <c r="Q6" s="679"/>
      <c r="R6" s="643"/>
      <c r="S6" s="643"/>
      <c r="T6" s="643"/>
      <c r="U6" s="680"/>
      <c r="V6" s="680"/>
      <c r="W6" s="680"/>
      <c r="X6" s="680"/>
      <c r="Y6" s="647"/>
      <c r="Z6" s="648"/>
      <c r="AA6" s="650" t="s">
        <v>31</v>
      </c>
      <c r="AB6" s="651"/>
      <c r="AC6" s="652"/>
      <c r="AD6" s="649" t="s">
        <v>32</v>
      </c>
      <c r="AE6" s="653" t="s">
        <v>31</v>
      </c>
      <c r="AF6" s="654"/>
      <c r="AG6" s="655"/>
      <c r="AH6" s="656" t="s">
        <v>32</v>
      </c>
      <c r="AI6" s="633" t="s">
        <v>394</v>
      </c>
      <c r="AJ6" s="633" t="s">
        <v>395</v>
      </c>
      <c r="AK6" s="633" t="s">
        <v>403</v>
      </c>
      <c r="AL6" s="633" t="s">
        <v>395</v>
      </c>
      <c r="AM6" s="634"/>
      <c r="AN6" s="633" t="s">
        <v>394</v>
      </c>
      <c r="AO6" s="633" t="s">
        <v>395</v>
      </c>
      <c r="AP6" s="634"/>
      <c r="AQ6" s="633" t="s">
        <v>394</v>
      </c>
      <c r="AR6" s="633" t="s">
        <v>395</v>
      </c>
      <c r="AS6" s="634"/>
      <c r="AT6" s="633" t="s">
        <v>394</v>
      </c>
      <c r="AU6" s="633" t="s">
        <v>395</v>
      </c>
      <c r="AV6" s="634"/>
      <c r="AW6" s="633" t="s">
        <v>394</v>
      </c>
      <c r="AX6" s="633" t="s">
        <v>395</v>
      </c>
      <c r="AY6" s="634"/>
      <c r="AZ6" s="633" t="s">
        <v>394</v>
      </c>
      <c r="BA6" s="633" t="s">
        <v>395</v>
      </c>
      <c r="BB6" s="704"/>
      <c r="BC6" s="633" t="s">
        <v>403</v>
      </c>
      <c r="BD6" s="633" t="s">
        <v>395</v>
      </c>
      <c r="BE6" s="704"/>
      <c r="BF6" s="633" t="s">
        <v>403</v>
      </c>
      <c r="BG6" s="633" t="s">
        <v>395</v>
      </c>
      <c r="BH6" s="704"/>
      <c r="BI6" s="705" t="s">
        <v>403</v>
      </c>
      <c r="BJ6" s="705" t="s">
        <v>395</v>
      </c>
      <c r="BK6" s="704"/>
      <c r="BL6" s="679" t="s">
        <v>33</v>
      </c>
      <c r="BM6" s="687" t="s">
        <v>34</v>
      </c>
      <c r="BN6" s="687"/>
      <c r="BO6" s="670"/>
      <c r="BP6" s="690"/>
      <c r="BQ6" s="670"/>
      <c r="BR6" s="670"/>
      <c r="BS6" s="670"/>
      <c r="BT6" s="670"/>
      <c r="BU6" s="670"/>
      <c r="BV6" s="670"/>
      <c r="BW6" s="662"/>
      <c r="BX6" s="663"/>
      <c r="BY6" s="692"/>
      <c r="BZ6" s="565"/>
      <c r="CA6" s="565"/>
      <c r="CB6" s="565"/>
      <c r="CC6" s="662"/>
      <c r="CD6" s="663"/>
      <c r="CE6" s="663"/>
      <c r="CF6" s="779"/>
      <c r="CG6" s="696"/>
      <c r="CH6" s="696"/>
      <c r="CI6" s="700"/>
      <c r="CJ6" s="700"/>
      <c r="CK6" s="658"/>
      <c r="CL6" s="658"/>
      <c r="CM6" s="660"/>
      <c r="CN6" s="660"/>
      <c r="CO6" s="660"/>
      <c r="CP6" s="660"/>
      <c r="CQ6" s="658"/>
      <c r="CR6" s="685"/>
    </row>
    <row r="7" spans="1:96" s="3" customFormat="1" ht="79.2" customHeight="1" x14ac:dyDescent="0.3">
      <c r="A7" s="636"/>
      <c r="B7" s="636"/>
      <c r="C7" s="636"/>
      <c r="D7" s="636"/>
      <c r="E7" s="636"/>
      <c r="F7" s="636"/>
      <c r="G7" s="636"/>
      <c r="H7" s="683"/>
      <c r="I7" s="636"/>
      <c r="J7" s="636"/>
      <c r="K7" s="636"/>
      <c r="L7" s="679"/>
      <c r="M7" s="679"/>
      <c r="N7" s="679"/>
      <c r="O7" s="679"/>
      <c r="P7" s="679"/>
      <c r="Q7" s="679"/>
      <c r="R7" s="643"/>
      <c r="S7" s="643"/>
      <c r="T7" s="643"/>
      <c r="U7" s="680"/>
      <c r="V7" s="680"/>
      <c r="W7" s="680"/>
      <c r="X7" s="680"/>
      <c r="Y7" s="647"/>
      <c r="Z7" s="648"/>
      <c r="AA7" s="112" t="s">
        <v>35</v>
      </c>
      <c r="AB7" s="112" t="s">
        <v>36</v>
      </c>
      <c r="AC7" s="112" t="s">
        <v>37</v>
      </c>
      <c r="AD7" s="649"/>
      <c r="AE7" s="335" t="s">
        <v>35</v>
      </c>
      <c r="AF7" s="335" t="s">
        <v>36</v>
      </c>
      <c r="AG7" s="335" t="s">
        <v>37</v>
      </c>
      <c r="AH7" s="656"/>
      <c r="AI7" s="635"/>
      <c r="AJ7" s="635"/>
      <c r="AK7" s="635"/>
      <c r="AL7" s="635"/>
      <c r="AM7" s="635"/>
      <c r="AN7" s="635"/>
      <c r="AO7" s="635"/>
      <c r="AP7" s="635"/>
      <c r="AQ7" s="635"/>
      <c r="AR7" s="635"/>
      <c r="AS7" s="635"/>
      <c r="AT7" s="635"/>
      <c r="AU7" s="635"/>
      <c r="AV7" s="635"/>
      <c r="AW7" s="635"/>
      <c r="AX7" s="635"/>
      <c r="AY7" s="635"/>
      <c r="AZ7" s="635"/>
      <c r="BA7" s="635"/>
      <c r="BB7" s="706"/>
      <c r="BC7" s="635"/>
      <c r="BD7" s="635"/>
      <c r="BE7" s="706"/>
      <c r="BF7" s="635"/>
      <c r="BG7" s="635"/>
      <c r="BH7" s="567"/>
      <c r="BI7" s="635"/>
      <c r="BJ7" s="635"/>
      <c r="BK7" s="635"/>
      <c r="BL7" s="679"/>
      <c r="BM7" s="562">
        <v>2026</v>
      </c>
      <c r="BN7" s="562">
        <v>2027</v>
      </c>
      <c r="BO7" s="670"/>
      <c r="BP7" s="670"/>
      <c r="BQ7" s="670"/>
      <c r="BR7" s="670"/>
      <c r="BS7" s="670"/>
      <c r="BT7" s="670"/>
      <c r="BU7" s="670"/>
      <c r="BV7" s="670"/>
      <c r="BW7" s="662"/>
      <c r="BX7" s="662"/>
      <c r="BY7" s="693"/>
      <c r="BZ7" s="566"/>
      <c r="CA7" s="566"/>
      <c r="CB7" s="566"/>
      <c r="CC7" s="662"/>
      <c r="CD7" s="663"/>
      <c r="CE7" s="663"/>
      <c r="CF7" s="780"/>
      <c r="CG7" s="697"/>
      <c r="CH7" s="697"/>
      <c r="CI7" s="701"/>
      <c r="CJ7" s="414"/>
      <c r="CK7" s="658"/>
      <c r="CL7" s="658"/>
      <c r="CM7" s="661"/>
      <c r="CN7" s="661"/>
      <c r="CO7" s="661"/>
      <c r="CP7" s="661"/>
      <c r="CQ7" s="658"/>
      <c r="CR7" s="686"/>
    </row>
    <row r="8" spans="1:96" s="19" customFormat="1" ht="111.6" customHeight="1" x14ac:dyDescent="0.3">
      <c r="A8" s="4" t="s">
        <v>907</v>
      </c>
      <c r="B8" s="5" t="s">
        <v>38</v>
      </c>
      <c r="C8" s="8" t="s">
        <v>39</v>
      </c>
      <c r="D8" s="5" t="s">
        <v>40</v>
      </c>
      <c r="E8" s="22" t="s">
        <v>41</v>
      </c>
      <c r="F8" s="6" t="s">
        <v>42</v>
      </c>
      <c r="G8" s="326" t="s">
        <v>43</v>
      </c>
      <c r="H8" s="14" t="s">
        <v>44</v>
      </c>
      <c r="I8" s="14" t="s">
        <v>44</v>
      </c>
      <c r="J8" s="9" t="s">
        <v>45</v>
      </c>
      <c r="K8" s="10">
        <v>2025</v>
      </c>
      <c r="L8" s="11" t="s">
        <v>46</v>
      </c>
      <c r="M8" s="11" t="s">
        <v>47</v>
      </c>
      <c r="N8" s="11" t="s">
        <v>47</v>
      </c>
      <c r="O8" s="12">
        <v>58</v>
      </c>
      <c r="P8" s="12" t="s">
        <v>45</v>
      </c>
      <c r="Q8" s="13"/>
      <c r="R8" s="14" t="s">
        <v>48</v>
      </c>
      <c r="S8" s="15" t="s">
        <v>49</v>
      </c>
      <c r="T8" s="15" t="s">
        <v>50</v>
      </c>
      <c r="U8" s="9" t="s">
        <v>51</v>
      </c>
      <c r="V8" s="9" t="s">
        <v>52</v>
      </c>
      <c r="W8" s="9" t="s">
        <v>53</v>
      </c>
      <c r="X8" s="9" t="s">
        <v>54</v>
      </c>
      <c r="Y8" s="16" t="s">
        <v>55</v>
      </c>
      <c r="Z8" s="17">
        <v>563052</v>
      </c>
      <c r="AA8" s="54">
        <v>0.33329999999999999</v>
      </c>
      <c r="AB8" s="54">
        <v>0.33329999999999999</v>
      </c>
      <c r="AC8" s="54">
        <v>0.33329999999999999</v>
      </c>
      <c r="AD8" s="18">
        <f t="shared" ref="AD8:AD35" si="0">+AA8+AB8+AC8</f>
        <v>0.99990000000000001</v>
      </c>
      <c r="AE8" s="38">
        <v>180140</v>
      </c>
      <c r="AF8" s="38">
        <v>180140</v>
      </c>
      <c r="AG8" s="38">
        <v>180140</v>
      </c>
      <c r="AH8" s="38">
        <f t="shared" ref="AH8:AH82" si="1">+AE8+AF8+AG8</f>
        <v>540420</v>
      </c>
      <c r="AI8" s="38"/>
      <c r="AJ8" s="38"/>
      <c r="AK8" s="359"/>
      <c r="AL8" s="359"/>
      <c r="AM8" s="74">
        <f t="shared" ref="AM8:AM30" si="2">+Z8+AI8-AJ8+AK8-AL8</f>
        <v>563052</v>
      </c>
      <c r="AN8" s="74"/>
      <c r="AO8" s="74"/>
      <c r="AP8" s="74">
        <f t="shared" ref="AP8:AP30" si="3">+AM8+AN8-AO8</f>
        <v>563052</v>
      </c>
      <c r="AQ8" s="38"/>
      <c r="AR8" s="38"/>
      <c r="AS8" s="74">
        <f>+AP8+AQ8-AR8</f>
        <v>563052</v>
      </c>
      <c r="AT8" s="38"/>
      <c r="AU8" s="38"/>
      <c r="AV8" s="38">
        <f>+AS8+AT8-AU8</f>
        <v>563052</v>
      </c>
      <c r="AW8" s="38"/>
      <c r="AX8" s="38"/>
      <c r="AY8" s="38">
        <f>+AV8+AW8-AX8</f>
        <v>563052</v>
      </c>
      <c r="AZ8" s="38"/>
      <c r="BA8" s="38"/>
      <c r="BB8" s="38">
        <f>+AY8+AZ8-BA8</f>
        <v>563052</v>
      </c>
      <c r="BC8" s="74"/>
      <c r="BD8" s="74">
        <v>22632</v>
      </c>
      <c r="BE8" s="38">
        <f>+BB8+BC8-BD8</f>
        <v>540420</v>
      </c>
      <c r="BF8" s="38"/>
      <c r="BG8" s="38"/>
      <c r="BH8" s="38">
        <f>+BE8+BF8-BG8</f>
        <v>540420</v>
      </c>
      <c r="BI8" s="38"/>
      <c r="BJ8" s="38"/>
      <c r="BK8" s="38">
        <f>+BH8+BI8-BJ8</f>
        <v>540420</v>
      </c>
      <c r="BL8" s="337" t="s">
        <v>56</v>
      </c>
      <c r="BM8" s="131"/>
      <c r="BN8" s="131"/>
      <c r="BO8" s="32" t="s">
        <v>400</v>
      </c>
      <c r="BP8" s="67">
        <v>315708</v>
      </c>
      <c r="BQ8" s="67"/>
      <c r="BR8" s="34"/>
      <c r="BS8" s="34"/>
      <c r="BT8" s="34"/>
      <c r="BU8" s="34"/>
      <c r="BV8" s="34"/>
      <c r="BW8" s="34" t="s">
        <v>401</v>
      </c>
      <c r="BX8" s="67">
        <v>315708</v>
      </c>
      <c r="BY8" s="95"/>
      <c r="BZ8" s="95"/>
      <c r="CA8" s="95"/>
      <c r="CB8" s="95"/>
      <c r="CC8" s="9" t="s">
        <v>1123</v>
      </c>
      <c r="CD8" s="67">
        <f>27126+27126+27126+27126+27126+27126+27126+27126+26581.33+26309+26309+26309</f>
        <v>322516.33</v>
      </c>
      <c r="CE8" s="67">
        <f>27126+27126+27126+27126+27126+27126+27126+27126+26581.33+26309+26309+26309</f>
        <v>322516.33</v>
      </c>
      <c r="CF8" s="781">
        <f>+CE8-CD8</f>
        <v>0</v>
      </c>
      <c r="CG8" s="419" t="s">
        <v>544</v>
      </c>
      <c r="CH8" s="419" t="s">
        <v>544</v>
      </c>
      <c r="CI8" s="419" t="s">
        <v>544</v>
      </c>
      <c r="CJ8" s="419"/>
      <c r="CK8" s="70" t="s">
        <v>45</v>
      </c>
      <c r="CL8" s="10" t="s">
        <v>45</v>
      </c>
      <c r="CM8" s="9" t="s">
        <v>45</v>
      </c>
      <c r="CN8" s="9" t="s">
        <v>45</v>
      </c>
      <c r="CO8" s="9" t="s">
        <v>45</v>
      </c>
      <c r="CP8" s="9" t="s">
        <v>45</v>
      </c>
      <c r="CQ8" s="9" t="s">
        <v>45</v>
      </c>
      <c r="CR8" s="9" t="s">
        <v>45</v>
      </c>
    </row>
    <row r="9" spans="1:96" s="19" customFormat="1" ht="162" customHeight="1" x14ac:dyDescent="0.3">
      <c r="A9" s="4" t="s">
        <v>907</v>
      </c>
      <c r="B9" s="5" t="s">
        <v>38</v>
      </c>
      <c r="C9" s="8" t="s">
        <v>39</v>
      </c>
      <c r="D9" s="5" t="s">
        <v>40</v>
      </c>
      <c r="E9" s="22" t="s">
        <v>57</v>
      </c>
      <c r="F9" s="6" t="s">
        <v>58</v>
      </c>
      <c r="G9" s="409" t="s">
        <v>59</v>
      </c>
      <c r="H9" s="14" t="s">
        <v>44</v>
      </c>
      <c r="I9" s="14" t="s">
        <v>44</v>
      </c>
      <c r="J9" s="9" t="s">
        <v>45</v>
      </c>
      <c r="K9" s="10">
        <v>2025</v>
      </c>
      <c r="L9" s="11" t="s">
        <v>46</v>
      </c>
      <c r="M9" s="11" t="s">
        <v>47</v>
      </c>
      <c r="N9" s="11" t="s">
        <v>47</v>
      </c>
      <c r="O9" s="12">
        <v>58</v>
      </c>
      <c r="P9" s="12" t="s">
        <v>45</v>
      </c>
      <c r="Q9" s="13"/>
      <c r="R9" s="14" t="s">
        <v>48</v>
      </c>
      <c r="S9" s="15" t="s">
        <v>49</v>
      </c>
      <c r="T9" s="15" t="s">
        <v>50</v>
      </c>
      <c r="U9" s="9" t="s">
        <v>51</v>
      </c>
      <c r="V9" s="9" t="s">
        <v>52</v>
      </c>
      <c r="W9" s="9" t="s">
        <v>53</v>
      </c>
      <c r="X9" s="9" t="s">
        <v>54</v>
      </c>
      <c r="Y9" s="16" t="s">
        <v>55</v>
      </c>
      <c r="Z9" s="17">
        <v>48587</v>
      </c>
      <c r="AA9" s="54">
        <v>0.33329999999999999</v>
      </c>
      <c r="AB9" s="54">
        <v>0.33329999999999999</v>
      </c>
      <c r="AC9" s="54">
        <v>0.33329999999999999</v>
      </c>
      <c r="AD9" s="18">
        <f t="shared" si="0"/>
        <v>0.99990000000000001</v>
      </c>
      <c r="AE9" s="38">
        <f t="shared" ref="AE9:AE19" si="4">+BK9/3</f>
        <v>19214.333333333332</v>
      </c>
      <c r="AF9" s="38">
        <f t="shared" ref="AF9:AF19" si="5">+AE9</f>
        <v>19214.333333333332</v>
      </c>
      <c r="AG9" s="38">
        <f t="shared" ref="AG9:AG19" si="6">+AE9</f>
        <v>19214.333333333332</v>
      </c>
      <c r="AH9" s="38">
        <f t="shared" si="1"/>
        <v>57643</v>
      </c>
      <c r="AI9" s="38"/>
      <c r="AJ9" s="38"/>
      <c r="AK9" s="359"/>
      <c r="AL9" s="359"/>
      <c r="AM9" s="74">
        <f t="shared" si="2"/>
        <v>48587</v>
      </c>
      <c r="AN9" s="38"/>
      <c r="AO9" s="38"/>
      <c r="AP9" s="74">
        <f t="shared" si="3"/>
        <v>48587</v>
      </c>
      <c r="AQ9" s="38"/>
      <c r="AR9" s="38"/>
      <c r="AS9" s="74">
        <f t="shared" ref="AS9:AS68" si="7">+AP9+AQ9-AR9</f>
        <v>48587</v>
      </c>
      <c r="AT9" s="38"/>
      <c r="AU9" s="38"/>
      <c r="AV9" s="38">
        <f t="shared" ref="AV9:AV68" si="8">+AS9+AT9-AU9</f>
        <v>48587</v>
      </c>
      <c r="AW9" s="38"/>
      <c r="AX9" s="38"/>
      <c r="AY9" s="38">
        <f t="shared" ref="AY9:AY69" si="9">+AV9+AW9-AX9</f>
        <v>48587</v>
      </c>
      <c r="AZ9" s="38"/>
      <c r="BA9" s="38"/>
      <c r="BB9" s="38">
        <f t="shared" ref="BB9:BB69" si="10">+AY9+AZ9-BA9</f>
        <v>48587</v>
      </c>
      <c r="BC9" s="74">
        <v>9056</v>
      </c>
      <c r="BD9" s="74"/>
      <c r="BE9" s="38">
        <f t="shared" ref="BE9:BE73" si="11">+BB9+BC9-BD9</f>
        <v>57643</v>
      </c>
      <c r="BF9" s="38"/>
      <c r="BG9" s="38"/>
      <c r="BH9" s="38">
        <f t="shared" ref="BH9:BH73" si="12">+BE9+BF9-BG9</f>
        <v>57643</v>
      </c>
      <c r="BI9" s="38"/>
      <c r="BJ9" s="38"/>
      <c r="BK9" s="38">
        <f t="shared" ref="BK9:BK73" si="13">+BH9+BI9-BJ9</f>
        <v>57643</v>
      </c>
      <c r="BL9" s="337" t="s">
        <v>56</v>
      </c>
      <c r="BM9" s="131"/>
      <c r="BN9" s="131"/>
      <c r="BO9" s="32" t="s">
        <v>1081</v>
      </c>
      <c r="BP9" s="67">
        <f>81.25+91.42+1005.58+2100+274.25+243.6+321.37+829.33+362.83+240.86+9027+26309</f>
        <v>40886.49</v>
      </c>
      <c r="BQ9" s="67"/>
      <c r="BR9" s="34"/>
      <c r="BS9" s="34"/>
      <c r="BT9" s="34"/>
      <c r="BU9" s="34"/>
      <c r="BV9" s="34"/>
      <c r="BW9" s="32" t="s">
        <v>1074</v>
      </c>
      <c r="BX9" s="67">
        <f>81.25+91.42+1005.58+2100+274.25+243.6+321.37+829.33+362.83+240.86+9027+26309</f>
        <v>40886.49</v>
      </c>
      <c r="BY9" s="95"/>
      <c r="BZ9" s="95"/>
      <c r="CA9" s="95"/>
      <c r="CB9" s="95"/>
      <c r="CC9" s="9" t="s">
        <v>1124</v>
      </c>
      <c r="CD9" s="67">
        <f>199.49+199.49+1005.58+1687.22+24436.26+328.28+161.5+7534.98+199.49+243.6+199.49+199.49+321.37+199.49+199.49+199.49+199.49+362.83+199.49+240.86+138.41+138.41</f>
        <v>38594.19999999999</v>
      </c>
      <c r="CE9" s="67">
        <f>199.49+199.49+1005.58+1687.22+24436.26+328.28+161.5+7534.98+199.49+243.6+199.49+199.49+321.37+199.49+199.49+199.49+199.49+362.83+199.49+240.86+138.41+138.41</f>
        <v>38594.19999999999</v>
      </c>
      <c r="CF9" s="781">
        <f t="shared" ref="CF9:CF72" si="14">+CE9-CD9</f>
        <v>0</v>
      </c>
      <c r="CG9" s="419" t="s">
        <v>544</v>
      </c>
      <c r="CH9" s="419" t="s">
        <v>544</v>
      </c>
      <c r="CI9" s="419" t="s">
        <v>544</v>
      </c>
      <c r="CJ9" s="419"/>
      <c r="CK9" s="10" t="s">
        <v>45</v>
      </c>
      <c r="CL9" s="10" t="s">
        <v>45</v>
      </c>
      <c r="CM9" s="9" t="s">
        <v>45</v>
      </c>
      <c r="CN9" s="9" t="s">
        <v>45</v>
      </c>
      <c r="CO9" s="9" t="s">
        <v>45</v>
      </c>
      <c r="CP9" s="9" t="s">
        <v>45</v>
      </c>
      <c r="CQ9" s="9" t="s">
        <v>45</v>
      </c>
      <c r="CR9" s="9" t="s">
        <v>45</v>
      </c>
    </row>
    <row r="10" spans="1:96" s="19" customFormat="1" ht="118.2" customHeight="1" x14ac:dyDescent="0.3">
      <c r="A10" s="4" t="s">
        <v>907</v>
      </c>
      <c r="B10" s="5" t="s">
        <v>38</v>
      </c>
      <c r="C10" s="8" t="s">
        <v>39</v>
      </c>
      <c r="D10" s="5" t="s">
        <v>40</v>
      </c>
      <c r="E10" s="22" t="s">
        <v>60</v>
      </c>
      <c r="F10" s="6" t="s">
        <v>61</v>
      </c>
      <c r="G10" s="409" t="s">
        <v>62</v>
      </c>
      <c r="H10" s="14" t="s">
        <v>44</v>
      </c>
      <c r="I10" s="14" t="s">
        <v>44</v>
      </c>
      <c r="J10" s="9" t="s">
        <v>45</v>
      </c>
      <c r="K10" s="10">
        <v>2025</v>
      </c>
      <c r="L10" s="11" t="s">
        <v>46</v>
      </c>
      <c r="M10" s="11" t="s">
        <v>47</v>
      </c>
      <c r="N10" s="11" t="s">
        <v>47</v>
      </c>
      <c r="O10" s="12">
        <v>58</v>
      </c>
      <c r="P10" s="12" t="s">
        <v>45</v>
      </c>
      <c r="Q10" s="13"/>
      <c r="R10" s="14" t="s">
        <v>48</v>
      </c>
      <c r="S10" s="15" t="s">
        <v>49</v>
      </c>
      <c r="T10" s="15" t="s">
        <v>50</v>
      </c>
      <c r="U10" s="9" t="s">
        <v>51</v>
      </c>
      <c r="V10" s="9" t="s">
        <v>52</v>
      </c>
      <c r="W10" s="9" t="s">
        <v>53</v>
      </c>
      <c r="X10" s="9" t="s">
        <v>54</v>
      </c>
      <c r="Y10" s="16" t="s">
        <v>55</v>
      </c>
      <c r="Z10" s="17">
        <v>46672</v>
      </c>
      <c r="AA10" s="54">
        <v>0.33329999999999999</v>
      </c>
      <c r="AB10" s="54">
        <v>0.33329999999999999</v>
      </c>
      <c r="AC10" s="54">
        <v>0.33329999999999999</v>
      </c>
      <c r="AD10" s="18">
        <f t="shared" si="0"/>
        <v>0.99990000000000001</v>
      </c>
      <c r="AE10" s="38">
        <f t="shared" si="4"/>
        <v>11280</v>
      </c>
      <c r="AF10" s="38">
        <f t="shared" si="5"/>
        <v>11280</v>
      </c>
      <c r="AG10" s="38">
        <f t="shared" si="6"/>
        <v>11280</v>
      </c>
      <c r="AH10" s="38">
        <f>+AE10+AF10+AG10</f>
        <v>33840</v>
      </c>
      <c r="AI10" s="38"/>
      <c r="AJ10" s="38"/>
      <c r="AK10" s="359"/>
      <c r="AL10" s="359"/>
      <c r="AM10" s="74">
        <f t="shared" si="2"/>
        <v>46672</v>
      </c>
      <c r="AN10" s="38"/>
      <c r="AO10" s="38"/>
      <c r="AP10" s="74">
        <f t="shared" si="3"/>
        <v>46672</v>
      </c>
      <c r="AQ10" s="38"/>
      <c r="AR10" s="38"/>
      <c r="AS10" s="74">
        <f t="shared" si="7"/>
        <v>46672</v>
      </c>
      <c r="AT10" s="38"/>
      <c r="AU10" s="38"/>
      <c r="AV10" s="38">
        <f t="shared" si="8"/>
        <v>46672</v>
      </c>
      <c r="AW10" s="38"/>
      <c r="AX10" s="38"/>
      <c r="AY10" s="38">
        <f t="shared" si="9"/>
        <v>46672</v>
      </c>
      <c r="AZ10" s="38"/>
      <c r="BA10" s="38"/>
      <c r="BB10" s="38">
        <f t="shared" si="10"/>
        <v>46672</v>
      </c>
      <c r="BC10" s="74"/>
      <c r="BD10" s="74">
        <v>12832</v>
      </c>
      <c r="BE10" s="38">
        <f t="shared" si="11"/>
        <v>33840</v>
      </c>
      <c r="BF10" s="38"/>
      <c r="BG10" s="38"/>
      <c r="BH10" s="38">
        <f t="shared" si="12"/>
        <v>33840</v>
      </c>
      <c r="BI10" s="38"/>
      <c r="BJ10" s="38"/>
      <c r="BK10" s="38">
        <f>+BH10+BI10-BJ10</f>
        <v>33840</v>
      </c>
      <c r="BL10" s="337" t="s">
        <v>56</v>
      </c>
      <c r="BM10" s="131"/>
      <c r="BN10" s="131"/>
      <c r="BO10" s="32" t="s">
        <v>1072</v>
      </c>
      <c r="BP10" s="67">
        <f>39.17+39.17+156.67+332.94+390.97+613.33+421.63+319.42+5170+16450</f>
        <v>23933.3</v>
      </c>
      <c r="BQ10" s="67"/>
      <c r="BR10" s="34"/>
      <c r="BS10" s="34"/>
      <c r="BT10" s="34"/>
      <c r="BU10" s="34"/>
      <c r="BV10" s="34"/>
      <c r="BW10" s="32" t="s">
        <v>1075</v>
      </c>
      <c r="BX10" s="67">
        <f>39.17+39.17+156.67+332.94+390.97+613.33+421.63+319.42+5170+16450</f>
        <v>23933.3</v>
      </c>
      <c r="BY10" s="95"/>
      <c r="BZ10" s="95"/>
      <c r="CA10" s="95"/>
      <c r="CB10" s="95"/>
      <c r="CC10" s="9" t="s">
        <v>1125</v>
      </c>
      <c r="CD10" s="67">
        <f>117.51+117.51+156.67+117.51+332.94+117.51+117.51+390.97+4613.83+15053.06+117.51+114.99+114.99+114.99+421.63+114.99+319.42+76.66+76.66</f>
        <v>22606.860000000004</v>
      </c>
      <c r="CE10" s="67">
        <f>117.51+117.51+156.67+117.51+332.94+117.51+117.51+390.97+4613.83+15053.06+117.51+114.99+114.99+114.99+421.63+114.99+319.42+76.66+76.66</f>
        <v>22606.860000000004</v>
      </c>
      <c r="CF10" s="781">
        <f t="shared" si="14"/>
        <v>0</v>
      </c>
      <c r="CG10" s="419" t="s">
        <v>544</v>
      </c>
      <c r="CH10" s="419" t="s">
        <v>544</v>
      </c>
      <c r="CI10" s="419" t="s">
        <v>544</v>
      </c>
      <c r="CJ10" s="419"/>
      <c r="CK10" s="10" t="s">
        <v>45</v>
      </c>
      <c r="CL10" s="10" t="s">
        <v>45</v>
      </c>
      <c r="CM10" s="9" t="s">
        <v>45</v>
      </c>
      <c r="CN10" s="9" t="s">
        <v>45</v>
      </c>
      <c r="CO10" s="9" t="s">
        <v>45</v>
      </c>
      <c r="CP10" s="9" t="s">
        <v>45</v>
      </c>
      <c r="CQ10" s="9" t="s">
        <v>45</v>
      </c>
      <c r="CR10" s="9" t="s">
        <v>45</v>
      </c>
    </row>
    <row r="11" spans="1:96" s="19" customFormat="1" ht="124.95" customHeight="1" x14ac:dyDescent="0.3">
      <c r="A11" s="4" t="s">
        <v>907</v>
      </c>
      <c r="B11" s="5" t="s">
        <v>38</v>
      </c>
      <c r="C11" s="8" t="s">
        <v>39</v>
      </c>
      <c r="D11" s="5" t="s">
        <v>40</v>
      </c>
      <c r="E11" s="331" t="s">
        <v>63</v>
      </c>
      <c r="F11" s="6" t="s">
        <v>64</v>
      </c>
      <c r="G11" s="409" t="s">
        <v>65</v>
      </c>
      <c r="H11" s="14" t="s">
        <v>44</v>
      </c>
      <c r="I11" s="14" t="s">
        <v>44</v>
      </c>
      <c r="J11" s="9" t="s">
        <v>45</v>
      </c>
      <c r="K11" s="10">
        <v>2025</v>
      </c>
      <c r="L11" s="11" t="s">
        <v>46</v>
      </c>
      <c r="M11" s="11" t="s">
        <v>47</v>
      </c>
      <c r="N11" s="11" t="s">
        <v>47</v>
      </c>
      <c r="O11" s="12">
        <v>58</v>
      </c>
      <c r="P11" s="12" t="s">
        <v>45</v>
      </c>
      <c r="Q11" s="13"/>
      <c r="R11" s="14" t="s">
        <v>48</v>
      </c>
      <c r="S11" s="15" t="s">
        <v>49</v>
      </c>
      <c r="T11" s="15" t="s">
        <v>50</v>
      </c>
      <c r="U11" s="9" t="s">
        <v>51</v>
      </c>
      <c r="V11" s="9" t="s">
        <v>52</v>
      </c>
      <c r="W11" s="9" t="s">
        <v>53</v>
      </c>
      <c r="X11" s="9" t="s">
        <v>54</v>
      </c>
      <c r="Y11" s="16" t="s">
        <v>55</v>
      </c>
      <c r="Z11" s="17">
        <v>44280</v>
      </c>
      <c r="AA11" s="54">
        <v>0.33329999999999999</v>
      </c>
      <c r="AB11" s="54">
        <v>0.33329999999999999</v>
      </c>
      <c r="AC11" s="54">
        <v>0.33329999999999999</v>
      </c>
      <c r="AD11" s="18">
        <f t="shared" si="0"/>
        <v>0.99990000000000001</v>
      </c>
      <c r="AE11" s="38">
        <f t="shared" si="4"/>
        <v>14760</v>
      </c>
      <c r="AF11" s="38">
        <f t="shared" si="5"/>
        <v>14760</v>
      </c>
      <c r="AG11" s="38">
        <f t="shared" si="6"/>
        <v>14760</v>
      </c>
      <c r="AH11" s="38">
        <f t="shared" si="1"/>
        <v>44280</v>
      </c>
      <c r="AI11" s="38"/>
      <c r="AJ11" s="38"/>
      <c r="AK11" s="359"/>
      <c r="AL11" s="359"/>
      <c r="AM11" s="74">
        <f t="shared" si="2"/>
        <v>44280</v>
      </c>
      <c r="AN11" s="38"/>
      <c r="AO11" s="38"/>
      <c r="AP11" s="74">
        <f t="shared" si="3"/>
        <v>44280</v>
      </c>
      <c r="AQ11" s="38"/>
      <c r="AR11" s="38"/>
      <c r="AS11" s="74">
        <f t="shared" si="7"/>
        <v>44280</v>
      </c>
      <c r="AT11" s="38"/>
      <c r="AU11" s="38"/>
      <c r="AV11" s="38">
        <f t="shared" si="8"/>
        <v>44280</v>
      </c>
      <c r="AW11" s="38"/>
      <c r="AX11" s="38"/>
      <c r="AY11" s="38">
        <f t="shared" si="9"/>
        <v>44280</v>
      </c>
      <c r="AZ11" s="38"/>
      <c r="BA11" s="38"/>
      <c r="BB11" s="38">
        <f t="shared" si="10"/>
        <v>44280</v>
      </c>
      <c r="BC11" s="74"/>
      <c r="BD11" s="74"/>
      <c r="BE11" s="38">
        <f t="shared" si="11"/>
        <v>44280</v>
      </c>
      <c r="BF11" s="38"/>
      <c r="BG11" s="38"/>
      <c r="BH11" s="38">
        <f t="shared" si="12"/>
        <v>44280</v>
      </c>
      <c r="BI11" s="38"/>
      <c r="BJ11" s="38"/>
      <c r="BK11" s="38">
        <f t="shared" si="13"/>
        <v>44280</v>
      </c>
      <c r="BL11" s="337" t="s">
        <v>56</v>
      </c>
      <c r="BM11" s="131"/>
      <c r="BN11" s="131"/>
      <c r="BO11" s="32" t="s">
        <v>421</v>
      </c>
      <c r="BP11" s="67">
        <v>35640</v>
      </c>
      <c r="BQ11" s="67"/>
      <c r="BR11" s="34"/>
      <c r="BS11" s="34"/>
      <c r="BT11" s="34"/>
      <c r="BU11" s="34"/>
      <c r="BV11" s="34"/>
      <c r="BW11" s="32" t="s">
        <v>422</v>
      </c>
      <c r="BX11" s="67">
        <v>35640</v>
      </c>
      <c r="BY11" s="95"/>
      <c r="BZ11" s="95"/>
      <c r="CA11" s="95"/>
      <c r="CB11" s="95"/>
      <c r="CC11" s="9" t="s">
        <v>1083</v>
      </c>
      <c r="CD11" s="67">
        <f>342+1886+2034+306+1950+360+1944+300+1980+288+2148+336+2082+300+2052+276+2070+348+1842+336+2136+306+1872+324</f>
        <v>27818</v>
      </c>
      <c r="CE11" s="67">
        <f>342+1886+2034+306+1950+360+1944+300+1980+288+2148+336+2082+300+2052+276+2070+348+1842+336+2136+306+1872+324</f>
        <v>27818</v>
      </c>
      <c r="CF11" s="781">
        <f t="shared" si="14"/>
        <v>0</v>
      </c>
      <c r="CG11" s="419" t="s">
        <v>544</v>
      </c>
      <c r="CH11" s="419" t="s">
        <v>544</v>
      </c>
      <c r="CI11" s="419" t="s">
        <v>544</v>
      </c>
      <c r="CJ11" s="419"/>
      <c r="CK11" s="10" t="s">
        <v>45</v>
      </c>
      <c r="CL11" s="10" t="s">
        <v>45</v>
      </c>
      <c r="CM11" s="9" t="s">
        <v>45</v>
      </c>
      <c r="CN11" s="9" t="s">
        <v>45</v>
      </c>
      <c r="CO11" s="9" t="s">
        <v>45</v>
      </c>
      <c r="CP11" s="9" t="s">
        <v>45</v>
      </c>
      <c r="CQ11" s="9" t="s">
        <v>45</v>
      </c>
      <c r="CR11" s="9" t="s">
        <v>45</v>
      </c>
    </row>
    <row r="12" spans="1:96" s="19" customFormat="1" ht="100.2" customHeight="1" x14ac:dyDescent="0.3">
      <c r="A12" s="4" t="s">
        <v>907</v>
      </c>
      <c r="B12" s="5" t="s">
        <v>38</v>
      </c>
      <c r="C12" s="8" t="s">
        <v>39</v>
      </c>
      <c r="D12" s="5" t="s">
        <v>40</v>
      </c>
      <c r="E12" s="331" t="s">
        <v>66</v>
      </c>
      <c r="F12" s="6" t="s">
        <v>67</v>
      </c>
      <c r="G12" s="409" t="s">
        <v>68</v>
      </c>
      <c r="H12" s="14" t="s">
        <v>44</v>
      </c>
      <c r="I12" s="14" t="s">
        <v>44</v>
      </c>
      <c r="J12" s="9" t="s">
        <v>45</v>
      </c>
      <c r="K12" s="10">
        <v>2025</v>
      </c>
      <c r="L12" s="11" t="s">
        <v>46</v>
      </c>
      <c r="M12" s="11" t="s">
        <v>47</v>
      </c>
      <c r="N12" s="11" t="s">
        <v>47</v>
      </c>
      <c r="O12" s="12">
        <v>58</v>
      </c>
      <c r="P12" s="12" t="s">
        <v>45</v>
      </c>
      <c r="Q12" s="13"/>
      <c r="R12" s="14" t="s">
        <v>48</v>
      </c>
      <c r="S12" s="15" t="s">
        <v>49</v>
      </c>
      <c r="T12" s="15" t="s">
        <v>50</v>
      </c>
      <c r="U12" s="9" t="s">
        <v>51</v>
      </c>
      <c r="V12" s="9" t="s">
        <v>52</v>
      </c>
      <c r="W12" s="9" t="s">
        <v>53</v>
      </c>
      <c r="X12" s="9" t="s">
        <v>54</v>
      </c>
      <c r="Y12" s="16" t="s">
        <v>55</v>
      </c>
      <c r="Z12" s="17">
        <v>17020</v>
      </c>
      <c r="AA12" s="54">
        <v>0.33329999999999999</v>
      </c>
      <c r="AB12" s="54">
        <v>0.33329999999999999</v>
      </c>
      <c r="AC12" s="54">
        <v>0.33329999999999999</v>
      </c>
      <c r="AD12" s="18">
        <f t="shared" si="0"/>
        <v>0.99990000000000001</v>
      </c>
      <c r="AE12" s="38">
        <f t="shared" si="4"/>
        <v>5673.333333333333</v>
      </c>
      <c r="AF12" s="38">
        <f t="shared" si="5"/>
        <v>5673.333333333333</v>
      </c>
      <c r="AG12" s="38">
        <f t="shared" si="6"/>
        <v>5673.333333333333</v>
      </c>
      <c r="AH12" s="38">
        <f t="shared" si="1"/>
        <v>17020</v>
      </c>
      <c r="AI12" s="38"/>
      <c r="AJ12" s="38"/>
      <c r="AK12" s="359"/>
      <c r="AL12" s="359"/>
      <c r="AM12" s="74">
        <f t="shared" si="2"/>
        <v>17020</v>
      </c>
      <c r="AN12" s="38"/>
      <c r="AO12" s="38"/>
      <c r="AP12" s="74">
        <f t="shared" si="3"/>
        <v>17020</v>
      </c>
      <c r="AQ12" s="38"/>
      <c r="AR12" s="38"/>
      <c r="AS12" s="74">
        <f t="shared" si="7"/>
        <v>17020</v>
      </c>
      <c r="AT12" s="38"/>
      <c r="AU12" s="38"/>
      <c r="AV12" s="38">
        <f t="shared" si="8"/>
        <v>17020</v>
      </c>
      <c r="AW12" s="38"/>
      <c r="AX12" s="38"/>
      <c r="AY12" s="38">
        <f t="shared" si="9"/>
        <v>17020</v>
      </c>
      <c r="AZ12" s="38"/>
      <c r="BA12" s="38"/>
      <c r="BB12" s="38">
        <f t="shared" si="10"/>
        <v>17020</v>
      </c>
      <c r="BC12" s="74"/>
      <c r="BD12" s="74"/>
      <c r="BE12" s="38">
        <f t="shared" si="11"/>
        <v>17020</v>
      </c>
      <c r="BF12" s="38"/>
      <c r="BG12" s="38"/>
      <c r="BH12" s="38">
        <f t="shared" si="12"/>
        <v>17020</v>
      </c>
      <c r="BI12" s="38"/>
      <c r="BJ12" s="38"/>
      <c r="BK12" s="38">
        <f t="shared" si="13"/>
        <v>17020</v>
      </c>
      <c r="BL12" s="337" t="s">
        <v>56</v>
      </c>
      <c r="BM12" s="131"/>
      <c r="BN12" s="131"/>
      <c r="BO12" s="32" t="s">
        <v>1093</v>
      </c>
      <c r="BP12" s="67">
        <f>14570+199.32+229.98</f>
        <v>14999.3</v>
      </c>
      <c r="BQ12" s="67"/>
      <c r="BR12" s="34"/>
      <c r="BS12" s="34"/>
      <c r="BT12" s="34"/>
      <c r="BU12" s="34"/>
      <c r="BV12" s="34"/>
      <c r="BW12" s="32" t="s">
        <v>1094</v>
      </c>
      <c r="BX12" s="67">
        <f>14570+199.32+229.98</f>
        <v>14999.3</v>
      </c>
      <c r="BY12" s="95"/>
      <c r="BZ12" s="95"/>
      <c r="CA12" s="95"/>
      <c r="CB12" s="95"/>
      <c r="CC12" s="9" t="s">
        <v>1098</v>
      </c>
      <c r="CD12" s="67">
        <f>14570+199.32+229.98</f>
        <v>14999.3</v>
      </c>
      <c r="CE12" s="67">
        <f>14570+199.32+229.98</f>
        <v>14999.3</v>
      </c>
      <c r="CF12" s="781">
        <f t="shared" si="14"/>
        <v>0</v>
      </c>
      <c r="CG12" s="419" t="s">
        <v>544</v>
      </c>
      <c r="CH12" s="419" t="s">
        <v>544</v>
      </c>
      <c r="CI12" s="419" t="s">
        <v>544</v>
      </c>
      <c r="CJ12" s="419"/>
      <c r="CK12" s="10" t="s">
        <v>45</v>
      </c>
      <c r="CL12" s="10" t="s">
        <v>45</v>
      </c>
      <c r="CM12" s="9" t="s">
        <v>45</v>
      </c>
      <c r="CN12" s="9" t="s">
        <v>45</v>
      </c>
      <c r="CO12" s="9" t="s">
        <v>45</v>
      </c>
      <c r="CP12" s="9" t="s">
        <v>45</v>
      </c>
      <c r="CQ12" s="9" t="s">
        <v>45</v>
      </c>
      <c r="CR12" s="9" t="s">
        <v>45</v>
      </c>
    </row>
    <row r="13" spans="1:96" s="19" customFormat="1" ht="98.4" customHeight="1" x14ac:dyDescent="0.3">
      <c r="A13" s="4" t="s">
        <v>907</v>
      </c>
      <c r="B13" s="5" t="s">
        <v>38</v>
      </c>
      <c r="C13" s="8" t="s">
        <v>39</v>
      </c>
      <c r="D13" s="5" t="s">
        <v>40</v>
      </c>
      <c r="E13" s="331" t="s">
        <v>69</v>
      </c>
      <c r="F13" s="6" t="s">
        <v>70</v>
      </c>
      <c r="G13" s="409" t="s">
        <v>71</v>
      </c>
      <c r="H13" s="14" t="s">
        <v>44</v>
      </c>
      <c r="I13" s="14" t="s">
        <v>44</v>
      </c>
      <c r="J13" s="9" t="s">
        <v>45</v>
      </c>
      <c r="K13" s="10">
        <v>2025</v>
      </c>
      <c r="L13" s="11" t="s">
        <v>46</v>
      </c>
      <c r="M13" s="11" t="s">
        <v>47</v>
      </c>
      <c r="N13" s="11" t="s">
        <v>47</v>
      </c>
      <c r="O13" s="12">
        <v>58</v>
      </c>
      <c r="P13" s="12" t="s">
        <v>45</v>
      </c>
      <c r="Q13" s="13"/>
      <c r="R13" s="14" t="s">
        <v>48</v>
      </c>
      <c r="S13" s="15" t="s">
        <v>49</v>
      </c>
      <c r="T13" s="15" t="s">
        <v>50</v>
      </c>
      <c r="U13" s="9" t="s">
        <v>51</v>
      </c>
      <c r="V13" s="9" t="s">
        <v>52</v>
      </c>
      <c r="W13" s="9" t="s">
        <v>53</v>
      </c>
      <c r="X13" s="9" t="s">
        <v>54</v>
      </c>
      <c r="Y13" s="16" t="s">
        <v>55</v>
      </c>
      <c r="Z13" s="17">
        <v>1116</v>
      </c>
      <c r="AA13" s="54">
        <v>0.33329999999999999</v>
      </c>
      <c r="AB13" s="54">
        <v>0.33329999999999999</v>
      </c>
      <c r="AC13" s="54">
        <v>0.33329999999999999</v>
      </c>
      <c r="AD13" s="18">
        <f t="shared" si="0"/>
        <v>0.99990000000000001</v>
      </c>
      <c r="AE13" s="38">
        <f t="shared" si="4"/>
        <v>372</v>
      </c>
      <c r="AF13" s="38">
        <f t="shared" si="5"/>
        <v>372</v>
      </c>
      <c r="AG13" s="38">
        <f t="shared" si="6"/>
        <v>372</v>
      </c>
      <c r="AH13" s="38">
        <f t="shared" si="1"/>
        <v>1116</v>
      </c>
      <c r="AI13" s="38"/>
      <c r="AJ13" s="38"/>
      <c r="AK13" s="359"/>
      <c r="AL13" s="359"/>
      <c r="AM13" s="74">
        <f t="shared" si="2"/>
        <v>1116</v>
      </c>
      <c r="AN13" s="38"/>
      <c r="AO13" s="38"/>
      <c r="AP13" s="74">
        <f t="shared" si="3"/>
        <v>1116</v>
      </c>
      <c r="AQ13" s="38"/>
      <c r="AR13" s="38"/>
      <c r="AS13" s="74">
        <f t="shared" si="7"/>
        <v>1116</v>
      </c>
      <c r="AT13" s="38"/>
      <c r="AU13" s="38"/>
      <c r="AV13" s="38">
        <f t="shared" si="8"/>
        <v>1116</v>
      </c>
      <c r="AW13" s="38"/>
      <c r="AX13" s="38"/>
      <c r="AY13" s="38">
        <f t="shared" si="9"/>
        <v>1116</v>
      </c>
      <c r="AZ13" s="38"/>
      <c r="BA13" s="38"/>
      <c r="BB13" s="38">
        <f t="shared" si="10"/>
        <v>1116</v>
      </c>
      <c r="BC13" s="74"/>
      <c r="BD13" s="74"/>
      <c r="BE13" s="38">
        <f t="shared" si="11"/>
        <v>1116</v>
      </c>
      <c r="BF13" s="38"/>
      <c r="BG13" s="38"/>
      <c r="BH13" s="38">
        <f t="shared" si="12"/>
        <v>1116</v>
      </c>
      <c r="BI13" s="38"/>
      <c r="BJ13" s="38"/>
      <c r="BK13" s="38">
        <f t="shared" si="13"/>
        <v>1116</v>
      </c>
      <c r="BL13" s="337" t="s">
        <v>56</v>
      </c>
      <c r="BM13" s="131"/>
      <c r="BN13" s="131"/>
      <c r="BO13" s="34"/>
      <c r="BP13" s="34"/>
      <c r="BQ13" s="34"/>
      <c r="BR13" s="34"/>
      <c r="BS13" s="34"/>
      <c r="BT13" s="34"/>
      <c r="BU13" s="34"/>
      <c r="BV13" s="34"/>
      <c r="BW13" s="95"/>
      <c r="BX13" s="95"/>
      <c r="BY13" s="95"/>
      <c r="BZ13" s="95"/>
      <c r="CA13" s="95"/>
      <c r="CB13" s="95"/>
      <c r="CC13" s="99"/>
      <c r="CD13" s="96"/>
      <c r="CE13" s="96"/>
      <c r="CF13" s="781">
        <f t="shared" si="14"/>
        <v>0</v>
      </c>
      <c r="CG13" s="419" t="s">
        <v>544</v>
      </c>
      <c r="CH13" s="419" t="s">
        <v>544</v>
      </c>
      <c r="CI13" s="419" t="s">
        <v>544</v>
      </c>
      <c r="CJ13" s="419"/>
      <c r="CK13" s="10" t="s">
        <v>45</v>
      </c>
      <c r="CL13" s="10" t="s">
        <v>45</v>
      </c>
      <c r="CM13" s="9" t="s">
        <v>45</v>
      </c>
      <c r="CN13" s="9" t="s">
        <v>45</v>
      </c>
      <c r="CO13" s="9" t="s">
        <v>45</v>
      </c>
      <c r="CP13" s="9" t="s">
        <v>45</v>
      </c>
      <c r="CQ13" s="9" t="s">
        <v>45</v>
      </c>
      <c r="CR13" s="9" t="s">
        <v>45</v>
      </c>
    </row>
    <row r="14" spans="1:96" s="19" customFormat="1" ht="105.6" customHeight="1" x14ac:dyDescent="0.3">
      <c r="A14" s="4" t="s">
        <v>907</v>
      </c>
      <c r="B14" s="5" t="s">
        <v>38</v>
      </c>
      <c r="C14" s="8" t="s">
        <v>39</v>
      </c>
      <c r="D14" s="5" t="s">
        <v>40</v>
      </c>
      <c r="E14" s="22" t="s">
        <v>72</v>
      </c>
      <c r="F14" s="6" t="s">
        <v>73</v>
      </c>
      <c r="G14" s="409" t="s">
        <v>74</v>
      </c>
      <c r="H14" s="14" t="s">
        <v>44</v>
      </c>
      <c r="I14" s="14" t="s">
        <v>44</v>
      </c>
      <c r="J14" s="9" t="s">
        <v>45</v>
      </c>
      <c r="K14" s="10">
        <v>2025</v>
      </c>
      <c r="L14" s="11" t="s">
        <v>46</v>
      </c>
      <c r="M14" s="11" t="s">
        <v>47</v>
      </c>
      <c r="N14" s="11" t="s">
        <v>47</v>
      </c>
      <c r="O14" s="12">
        <v>58</v>
      </c>
      <c r="P14" s="12" t="s">
        <v>45</v>
      </c>
      <c r="Q14" s="13"/>
      <c r="R14" s="14" t="s">
        <v>48</v>
      </c>
      <c r="S14" s="15" t="s">
        <v>49</v>
      </c>
      <c r="T14" s="15" t="s">
        <v>50</v>
      </c>
      <c r="U14" s="9" t="s">
        <v>51</v>
      </c>
      <c r="V14" s="9" t="s">
        <v>52</v>
      </c>
      <c r="W14" s="9" t="s">
        <v>53</v>
      </c>
      <c r="X14" s="9" t="s">
        <v>54</v>
      </c>
      <c r="Y14" s="16" t="s">
        <v>55</v>
      </c>
      <c r="Z14" s="17">
        <v>151176</v>
      </c>
      <c r="AA14" s="54">
        <v>0.33329999999999999</v>
      </c>
      <c r="AB14" s="54">
        <v>0.33329999999999999</v>
      </c>
      <c r="AC14" s="54">
        <v>0.33329999999999999</v>
      </c>
      <c r="AD14" s="18">
        <f t="shared" si="0"/>
        <v>0.99990000000000001</v>
      </c>
      <c r="AE14" s="38">
        <f t="shared" si="4"/>
        <v>50432</v>
      </c>
      <c r="AF14" s="38">
        <f t="shared" si="5"/>
        <v>50432</v>
      </c>
      <c r="AG14" s="38">
        <f t="shared" si="6"/>
        <v>50432</v>
      </c>
      <c r="AH14" s="38">
        <f t="shared" si="1"/>
        <v>151296</v>
      </c>
      <c r="AI14" s="38"/>
      <c r="AJ14" s="38"/>
      <c r="AK14" s="359"/>
      <c r="AL14" s="359"/>
      <c r="AM14" s="74">
        <f t="shared" si="2"/>
        <v>151176</v>
      </c>
      <c r="AN14" s="38"/>
      <c r="AO14" s="38"/>
      <c r="AP14" s="74">
        <f t="shared" si="3"/>
        <v>151176</v>
      </c>
      <c r="AQ14" s="38"/>
      <c r="AR14" s="38"/>
      <c r="AS14" s="74">
        <f t="shared" si="7"/>
        <v>151176</v>
      </c>
      <c r="AT14" s="38"/>
      <c r="AU14" s="38"/>
      <c r="AV14" s="38">
        <f t="shared" si="8"/>
        <v>151176</v>
      </c>
      <c r="AW14" s="38"/>
      <c r="AX14" s="38"/>
      <c r="AY14" s="38">
        <f t="shared" si="9"/>
        <v>151176</v>
      </c>
      <c r="AZ14" s="38"/>
      <c r="BA14" s="38"/>
      <c r="BB14" s="38">
        <f t="shared" si="10"/>
        <v>151176</v>
      </c>
      <c r="BC14" s="74">
        <v>120</v>
      </c>
      <c r="BD14" s="74"/>
      <c r="BE14" s="38">
        <f t="shared" si="11"/>
        <v>151296</v>
      </c>
      <c r="BF14" s="38"/>
      <c r="BG14" s="38"/>
      <c r="BH14" s="38">
        <f t="shared" si="12"/>
        <v>151296</v>
      </c>
      <c r="BI14" s="38"/>
      <c r="BJ14" s="38"/>
      <c r="BK14" s="38">
        <f t="shared" si="13"/>
        <v>151296</v>
      </c>
      <c r="BL14" s="337" t="s">
        <v>56</v>
      </c>
      <c r="BM14" s="131"/>
      <c r="BN14" s="131"/>
      <c r="BO14" s="32" t="s">
        <v>1133</v>
      </c>
      <c r="BP14" s="67">
        <f>1289+1023+1097+3291+9952+108324</f>
        <v>124976</v>
      </c>
      <c r="BQ14" s="67"/>
      <c r="BR14" s="34"/>
      <c r="BS14" s="34"/>
      <c r="BT14" s="34"/>
      <c r="BU14" s="34"/>
      <c r="BV14" s="34"/>
      <c r="BW14" s="32" t="s">
        <v>1132</v>
      </c>
      <c r="BX14" s="67">
        <f>1289+1023+1097+3291+9952+108324</f>
        <v>124976</v>
      </c>
      <c r="BY14" s="95"/>
      <c r="BZ14" s="95"/>
      <c r="CA14" s="95"/>
      <c r="CB14" s="95"/>
      <c r="CC14" s="9" t="s">
        <v>1128</v>
      </c>
      <c r="CD14" s="67">
        <f>1289+1023.87+5017+1097+1097+622+7403+1097+622+8866.03+9317+9317+9317+9317+9447+9947.4+10134+10134+10106.77</f>
        <v>115171.06999999999</v>
      </c>
      <c r="CE14" s="67">
        <f>1289+1023.87+5017+1097+1097+622+7403+1097+622+8866.03+9317+9317+9317+9317+9447+9947.4+10134+10134+10106.77</f>
        <v>115171.06999999999</v>
      </c>
      <c r="CF14" s="781">
        <f t="shared" si="14"/>
        <v>0</v>
      </c>
      <c r="CG14" s="419" t="s">
        <v>544</v>
      </c>
      <c r="CH14" s="419" t="s">
        <v>544</v>
      </c>
      <c r="CI14" s="419" t="s">
        <v>544</v>
      </c>
      <c r="CJ14" s="419"/>
      <c r="CK14" s="10" t="s">
        <v>45</v>
      </c>
      <c r="CL14" s="10" t="s">
        <v>45</v>
      </c>
      <c r="CM14" s="9" t="s">
        <v>45</v>
      </c>
      <c r="CN14" s="9" t="s">
        <v>45</v>
      </c>
      <c r="CO14" s="9" t="s">
        <v>45</v>
      </c>
      <c r="CP14" s="9" t="s">
        <v>45</v>
      </c>
      <c r="CQ14" s="9" t="s">
        <v>45</v>
      </c>
      <c r="CR14" s="9" t="s">
        <v>45</v>
      </c>
    </row>
    <row r="15" spans="1:96" s="19" customFormat="1" ht="113.4" customHeight="1" x14ac:dyDescent="0.3">
      <c r="A15" s="4" t="s">
        <v>907</v>
      </c>
      <c r="B15" s="5" t="s">
        <v>38</v>
      </c>
      <c r="C15" s="8" t="s">
        <v>39</v>
      </c>
      <c r="D15" s="5" t="s">
        <v>40</v>
      </c>
      <c r="E15" s="331" t="s">
        <v>75</v>
      </c>
      <c r="F15" s="6" t="s">
        <v>76</v>
      </c>
      <c r="G15" s="409" t="s">
        <v>77</v>
      </c>
      <c r="H15" s="14" t="s">
        <v>44</v>
      </c>
      <c r="I15" s="14" t="s">
        <v>44</v>
      </c>
      <c r="J15" s="9" t="s">
        <v>45</v>
      </c>
      <c r="K15" s="10">
        <v>2025</v>
      </c>
      <c r="L15" s="11" t="s">
        <v>46</v>
      </c>
      <c r="M15" s="11" t="s">
        <v>47</v>
      </c>
      <c r="N15" s="11" t="s">
        <v>47</v>
      </c>
      <c r="O15" s="12">
        <v>58</v>
      </c>
      <c r="P15" s="12" t="s">
        <v>45</v>
      </c>
      <c r="Q15" s="13"/>
      <c r="R15" s="14" t="s">
        <v>48</v>
      </c>
      <c r="S15" s="15" t="s">
        <v>49</v>
      </c>
      <c r="T15" s="15" t="s">
        <v>50</v>
      </c>
      <c r="U15" s="9" t="s">
        <v>51</v>
      </c>
      <c r="V15" s="9" t="s">
        <v>52</v>
      </c>
      <c r="W15" s="9" t="s">
        <v>53</v>
      </c>
      <c r="X15" s="9" t="s">
        <v>54</v>
      </c>
      <c r="Y15" s="16" t="s">
        <v>55</v>
      </c>
      <c r="Z15" s="17">
        <v>5000</v>
      </c>
      <c r="AA15" s="54">
        <v>0.33329999999999999</v>
      </c>
      <c r="AB15" s="54">
        <v>0.33329999999999999</v>
      </c>
      <c r="AC15" s="54">
        <v>0.33329999999999999</v>
      </c>
      <c r="AD15" s="18">
        <f t="shared" si="0"/>
        <v>0.99990000000000001</v>
      </c>
      <c r="AE15" s="38">
        <f t="shared" si="4"/>
        <v>1666.6666666666667</v>
      </c>
      <c r="AF15" s="38">
        <f t="shared" si="5"/>
        <v>1666.6666666666667</v>
      </c>
      <c r="AG15" s="38">
        <f t="shared" si="6"/>
        <v>1666.6666666666667</v>
      </c>
      <c r="AH15" s="38">
        <f t="shared" si="1"/>
        <v>5000</v>
      </c>
      <c r="AI15" s="38"/>
      <c r="AJ15" s="38"/>
      <c r="AK15" s="359"/>
      <c r="AL15" s="359"/>
      <c r="AM15" s="74">
        <f t="shared" si="2"/>
        <v>5000</v>
      </c>
      <c r="AN15" s="38"/>
      <c r="AO15" s="38"/>
      <c r="AP15" s="74">
        <f t="shared" si="3"/>
        <v>5000</v>
      </c>
      <c r="AQ15" s="38"/>
      <c r="AR15" s="38"/>
      <c r="AS15" s="74">
        <f t="shared" si="7"/>
        <v>5000</v>
      </c>
      <c r="AT15" s="38"/>
      <c r="AU15" s="38"/>
      <c r="AV15" s="38">
        <f t="shared" si="8"/>
        <v>5000</v>
      </c>
      <c r="AW15" s="38"/>
      <c r="AX15" s="38"/>
      <c r="AY15" s="38">
        <f t="shared" si="9"/>
        <v>5000</v>
      </c>
      <c r="AZ15" s="38"/>
      <c r="BA15" s="38"/>
      <c r="BB15" s="38">
        <f t="shared" si="10"/>
        <v>5000</v>
      </c>
      <c r="BC15" s="415"/>
      <c r="BD15" s="415"/>
      <c r="BE15" s="38">
        <f t="shared" si="11"/>
        <v>5000</v>
      </c>
      <c r="BF15" s="38"/>
      <c r="BG15" s="38"/>
      <c r="BH15" s="38">
        <f t="shared" si="12"/>
        <v>5000</v>
      </c>
      <c r="BI15" s="38"/>
      <c r="BJ15" s="38"/>
      <c r="BK15" s="38">
        <f t="shared" si="13"/>
        <v>5000</v>
      </c>
      <c r="BL15" s="337" t="s">
        <v>56</v>
      </c>
      <c r="BM15" s="131"/>
      <c r="BN15" s="131"/>
      <c r="BO15" s="32" t="s">
        <v>965</v>
      </c>
      <c r="BP15" s="67">
        <f>960+384</f>
        <v>1344</v>
      </c>
      <c r="BQ15" s="67"/>
      <c r="BR15" s="34"/>
      <c r="BS15" s="34"/>
      <c r="BT15" s="34"/>
      <c r="BU15" s="34"/>
      <c r="BV15" s="34"/>
      <c r="BW15" s="32" t="s">
        <v>963</v>
      </c>
      <c r="BX15" s="67">
        <f>960+384</f>
        <v>1344</v>
      </c>
      <c r="BY15" s="95"/>
      <c r="BZ15" s="95"/>
      <c r="CA15" s="95"/>
      <c r="CB15" s="95"/>
      <c r="CC15" s="9" t="s">
        <v>964</v>
      </c>
      <c r="CD15" s="67">
        <f>960+384</f>
        <v>1344</v>
      </c>
      <c r="CE15" s="67">
        <f>960+384</f>
        <v>1344</v>
      </c>
      <c r="CF15" s="781">
        <f t="shared" si="14"/>
        <v>0</v>
      </c>
      <c r="CG15" s="419" t="s">
        <v>544</v>
      </c>
      <c r="CH15" s="419" t="s">
        <v>544</v>
      </c>
      <c r="CI15" s="419" t="s">
        <v>544</v>
      </c>
      <c r="CJ15" s="419"/>
      <c r="CK15" s="10" t="s">
        <v>45</v>
      </c>
      <c r="CL15" s="10" t="s">
        <v>45</v>
      </c>
      <c r="CM15" s="9" t="s">
        <v>45</v>
      </c>
      <c r="CN15" s="9" t="s">
        <v>45</v>
      </c>
      <c r="CO15" s="9" t="s">
        <v>45</v>
      </c>
      <c r="CP15" s="9" t="s">
        <v>45</v>
      </c>
      <c r="CQ15" s="9" t="s">
        <v>45</v>
      </c>
      <c r="CR15" s="9" t="s">
        <v>45</v>
      </c>
    </row>
    <row r="16" spans="1:96" s="19" customFormat="1" ht="304.2" customHeight="1" x14ac:dyDescent="0.3">
      <c r="A16" s="4" t="s">
        <v>907</v>
      </c>
      <c r="B16" s="5" t="s">
        <v>38</v>
      </c>
      <c r="C16" s="8" t="s">
        <v>39</v>
      </c>
      <c r="D16" s="5" t="s">
        <v>40</v>
      </c>
      <c r="E16" s="331" t="s">
        <v>78</v>
      </c>
      <c r="F16" s="6" t="s">
        <v>79</v>
      </c>
      <c r="G16" s="409" t="s">
        <v>80</v>
      </c>
      <c r="H16" s="14" t="s">
        <v>44</v>
      </c>
      <c r="I16" s="14" t="s">
        <v>44</v>
      </c>
      <c r="J16" s="9" t="s">
        <v>45</v>
      </c>
      <c r="K16" s="10">
        <v>2025</v>
      </c>
      <c r="L16" s="11" t="s">
        <v>46</v>
      </c>
      <c r="M16" s="11" t="s">
        <v>47</v>
      </c>
      <c r="N16" s="11" t="s">
        <v>47</v>
      </c>
      <c r="O16" s="12">
        <v>58</v>
      </c>
      <c r="P16" s="12" t="s">
        <v>45</v>
      </c>
      <c r="Q16" s="13"/>
      <c r="R16" s="14" t="s">
        <v>48</v>
      </c>
      <c r="S16" s="15" t="s">
        <v>49</v>
      </c>
      <c r="T16" s="15" t="s">
        <v>50</v>
      </c>
      <c r="U16" s="9" t="s">
        <v>51</v>
      </c>
      <c r="V16" s="9" t="s">
        <v>52</v>
      </c>
      <c r="W16" s="9" t="s">
        <v>53</v>
      </c>
      <c r="X16" s="9" t="s">
        <v>54</v>
      </c>
      <c r="Y16" s="16" t="s">
        <v>55</v>
      </c>
      <c r="Z16" s="17">
        <v>19992</v>
      </c>
      <c r="AA16" s="54">
        <v>0.33329999999999999</v>
      </c>
      <c r="AB16" s="54">
        <v>0.33329999999999999</v>
      </c>
      <c r="AC16" s="54">
        <v>0.33329999999999999</v>
      </c>
      <c r="AD16" s="18">
        <f t="shared" si="0"/>
        <v>0.99990000000000001</v>
      </c>
      <c r="AE16" s="38">
        <f t="shared" si="4"/>
        <v>6664</v>
      </c>
      <c r="AF16" s="38">
        <f t="shared" si="5"/>
        <v>6664</v>
      </c>
      <c r="AG16" s="38">
        <f t="shared" si="6"/>
        <v>6664</v>
      </c>
      <c r="AH16" s="38">
        <f t="shared" si="1"/>
        <v>19992</v>
      </c>
      <c r="AI16" s="38"/>
      <c r="AJ16" s="38"/>
      <c r="AK16" s="359"/>
      <c r="AL16" s="359"/>
      <c r="AM16" s="74">
        <f t="shared" si="2"/>
        <v>19992</v>
      </c>
      <c r="AN16" s="38"/>
      <c r="AO16" s="38"/>
      <c r="AP16" s="74">
        <f t="shared" si="3"/>
        <v>19992</v>
      </c>
      <c r="AQ16" s="38"/>
      <c r="AR16" s="38"/>
      <c r="AS16" s="74">
        <f t="shared" si="7"/>
        <v>19992</v>
      </c>
      <c r="AT16" s="38"/>
      <c r="AU16" s="38"/>
      <c r="AV16" s="38">
        <f t="shared" si="8"/>
        <v>19992</v>
      </c>
      <c r="AW16" s="38"/>
      <c r="AX16" s="38"/>
      <c r="AY16" s="38">
        <f t="shared" si="9"/>
        <v>19992</v>
      </c>
      <c r="AZ16" s="38"/>
      <c r="BA16" s="38"/>
      <c r="BB16" s="38">
        <f t="shared" si="10"/>
        <v>19992</v>
      </c>
      <c r="BC16" s="415"/>
      <c r="BD16" s="415"/>
      <c r="BE16" s="38">
        <f t="shared" si="11"/>
        <v>19992</v>
      </c>
      <c r="BF16" s="38"/>
      <c r="BG16" s="38"/>
      <c r="BH16" s="38">
        <f t="shared" si="12"/>
        <v>19992</v>
      </c>
      <c r="BI16" s="38"/>
      <c r="BJ16" s="38"/>
      <c r="BK16" s="38">
        <f t="shared" si="13"/>
        <v>19992</v>
      </c>
      <c r="BL16" s="337" t="s">
        <v>56</v>
      </c>
      <c r="BM16" s="131"/>
      <c r="BN16" s="131"/>
      <c r="BO16" s="32" t="s">
        <v>981</v>
      </c>
      <c r="BP16" s="67">
        <f>1314.17+263.33+92.17+17280</f>
        <v>18949.669999999998</v>
      </c>
      <c r="BQ16" s="67"/>
      <c r="BR16" s="34"/>
      <c r="BS16" s="34"/>
      <c r="BT16" s="34"/>
      <c r="BU16" s="34"/>
      <c r="BV16" s="34"/>
      <c r="BW16" s="32" t="s">
        <v>982</v>
      </c>
      <c r="BX16" s="67">
        <f>1314.17+263.33+92.17+17280</f>
        <v>18949.669999999998</v>
      </c>
      <c r="BY16" s="95"/>
      <c r="BZ16" s="95"/>
      <c r="CA16" s="95"/>
      <c r="CB16" s="95"/>
      <c r="CC16" s="9" t="s">
        <v>1126</v>
      </c>
      <c r="CD16" s="67">
        <f>475+1440+475+1440+364.17+1440+1440+263.33+1176.67+1440+1440+1440+92.17+1440+1440+1440+1440</f>
        <v>18686.34</v>
      </c>
      <c r="CE16" s="67">
        <f>475+1440+475+1440+364.17+1440+1440+263.33+1176.67+1440+1440+1440+92.17+1440+1440+1440+1440</f>
        <v>18686.34</v>
      </c>
      <c r="CF16" s="781">
        <f t="shared" si="14"/>
        <v>0</v>
      </c>
      <c r="CG16" s="419" t="s">
        <v>544</v>
      </c>
      <c r="CH16" s="419" t="s">
        <v>544</v>
      </c>
      <c r="CI16" s="419" t="s">
        <v>544</v>
      </c>
      <c r="CJ16" s="419"/>
      <c r="CK16" s="10" t="s">
        <v>45</v>
      </c>
      <c r="CL16" s="10" t="s">
        <v>45</v>
      </c>
      <c r="CM16" s="9" t="s">
        <v>45</v>
      </c>
      <c r="CN16" s="9" t="s">
        <v>45</v>
      </c>
      <c r="CO16" s="9" t="s">
        <v>45</v>
      </c>
      <c r="CP16" s="9" t="s">
        <v>45</v>
      </c>
      <c r="CQ16" s="9" t="s">
        <v>45</v>
      </c>
      <c r="CR16" s="9" t="s">
        <v>45</v>
      </c>
    </row>
    <row r="17" spans="1:96" s="19" customFormat="1" ht="150" customHeight="1" x14ac:dyDescent="0.3">
      <c r="A17" s="4" t="s">
        <v>907</v>
      </c>
      <c r="B17" s="5" t="s">
        <v>38</v>
      </c>
      <c r="C17" s="8" t="s">
        <v>39</v>
      </c>
      <c r="D17" s="5" t="s">
        <v>40</v>
      </c>
      <c r="E17" s="22" t="s">
        <v>81</v>
      </c>
      <c r="F17" s="6" t="s">
        <v>82</v>
      </c>
      <c r="G17" s="409" t="s">
        <v>83</v>
      </c>
      <c r="H17" s="14" t="s">
        <v>44</v>
      </c>
      <c r="I17" s="14" t="s">
        <v>44</v>
      </c>
      <c r="J17" s="9" t="s">
        <v>45</v>
      </c>
      <c r="K17" s="10">
        <v>2025</v>
      </c>
      <c r="L17" s="11" t="s">
        <v>46</v>
      </c>
      <c r="M17" s="11" t="s">
        <v>47</v>
      </c>
      <c r="N17" s="11" t="s">
        <v>47</v>
      </c>
      <c r="O17" s="12">
        <v>58</v>
      </c>
      <c r="P17" s="12" t="s">
        <v>45</v>
      </c>
      <c r="Q17" s="13"/>
      <c r="R17" s="14" t="s">
        <v>48</v>
      </c>
      <c r="S17" s="15" t="s">
        <v>49</v>
      </c>
      <c r="T17" s="15" t="s">
        <v>50</v>
      </c>
      <c r="U17" s="9" t="s">
        <v>51</v>
      </c>
      <c r="V17" s="9" t="s">
        <v>52</v>
      </c>
      <c r="W17" s="9" t="s">
        <v>53</v>
      </c>
      <c r="X17" s="9" t="s">
        <v>54</v>
      </c>
      <c r="Y17" s="16" t="s">
        <v>55</v>
      </c>
      <c r="Z17" s="20">
        <v>67924.63</v>
      </c>
      <c r="AA17" s="54">
        <v>0.33329999999999999</v>
      </c>
      <c r="AB17" s="54">
        <v>0.33329999999999999</v>
      </c>
      <c r="AC17" s="54">
        <v>0.33329999999999999</v>
      </c>
      <c r="AD17" s="18">
        <f t="shared" si="0"/>
        <v>0.99990000000000001</v>
      </c>
      <c r="AE17" s="38">
        <f t="shared" si="4"/>
        <v>26861.636666666669</v>
      </c>
      <c r="AF17" s="38">
        <f t="shared" si="5"/>
        <v>26861.636666666669</v>
      </c>
      <c r="AG17" s="38">
        <f t="shared" si="6"/>
        <v>26861.636666666669</v>
      </c>
      <c r="AH17" s="38">
        <f t="shared" si="1"/>
        <v>80584.91</v>
      </c>
      <c r="AI17" s="38"/>
      <c r="AJ17" s="38"/>
      <c r="AK17" s="359"/>
      <c r="AL17" s="359"/>
      <c r="AM17" s="74">
        <f t="shared" si="2"/>
        <v>67924.63</v>
      </c>
      <c r="AN17" s="38"/>
      <c r="AO17" s="38"/>
      <c r="AP17" s="74">
        <f t="shared" si="3"/>
        <v>67924.63</v>
      </c>
      <c r="AQ17" s="38"/>
      <c r="AR17" s="38"/>
      <c r="AS17" s="74">
        <f t="shared" si="7"/>
        <v>67924.63</v>
      </c>
      <c r="AT17" s="38"/>
      <c r="AU17" s="38"/>
      <c r="AV17" s="38">
        <f t="shared" si="8"/>
        <v>67924.63</v>
      </c>
      <c r="AW17" s="38"/>
      <c r="AX17" s="38"/>
      <c r="AY17" s="38">
        <f t="shared" si="9"/>
        <v>67924.63</v>
      </c>
      <c r="AZ17" s="38"/>
      <c r="BA17" s="38"/>
      <c r="BB17" s="38">
        <f t="shared" si="10"/>
        <v>67924.63</v>
      </c>
      <c r="BC17" s="74">
        <v>12660.28</v>
      </c>
      <c r="BD17" s="74"/>
      <c r="BE17" s="38">
        <f t="shared" si="11"/>
        <v>80584.91</v>
      </c>
      <c r="BF17" s="38"/>
      <c r="BG17" s="38"/>
      <c r="BH17" s="38">
        <f t="shared" si="12"/>
        <v>80584.91</v>
      </c>
      <c r="BI17" s="38"/>
      <c r="BJ17" s="38"/>
      <c r="BK17" s="38">
        <f t="shared" si="13"/>
        <v>80584.91</v>
      </c>
      <c r="BL17" s="337" t="s">
        <v>56</v>
      </c>
      <c r="BM17" s="131"/>
      <c r="BN17" s="131"/>
      <c r="BO17" s="32" t="s">
        <v>1073</v>
      </c>
      <c r="BP17" s="67">
        <f>119.18+127.8+1324.9+383.4+802.52+1159.41+12619.75+36779.98</f>
        <v>53316.94</v>
      </c>
      <c r="BQ17" s="67"/>
      <c r="BR17" s="34"/>
      <c r="BS17" s="34"/>
      <c r="BT17" s="34"/>
      <c r="BU17" s="34"/>
      <c r="BV17" s="34"/>
      <c r="BW17" s="32" t="s">
        <v>1076</v>
      </c>
      <c r="BX17" s="67">
        <f>119.18+127.8+1324.9+383.4+802.52+1159.41+12619.75+36779.98</f>
        <v>53316.94</v>
      </c>
      <c r="BY17" s="95"/>
      <c r="BZ17" s="95"/>
      <c r="CA17" s="95"/>
      <c r="CB17" s="95"/>
      <c r="CC17" s="9" t="s">
        <v>1127</v>
      </c>
      <c r="CD17" s="67">
        <f>119.28+734.65+3383.28+127.8+127.8+72.46+462.45+400+3383.28+127.8+72.46+1032.89+3370.36+1085.43+3327.94+1085.43+3439.78-802.52+802.52+3327.94+1085.43+3327.94+1085.43+3327.94+1100.58+3319.96+1158.87+3232.76+1180.61+3232.76+1180.61+3232.76+1177.44</f>
        <v>53324.12000000001</v>
      </c>
      <c r="CE17" s="67">
        <f>119.28+734.65+3383.28+127.8+127.8+72.46+462.45+400+3383.28+127.8+72.46+1032.89+3370.36+1085.43+3327.94+1085.43+3439.78-802.52+802.52+3327.94+1085.43+3327.94+1085.43+3327.94+1100.58+3319.96+1158.87+3232.76+1180.61+3232.76+1180.61+3232.76+1177.44</f>
        <v>53324.12000000001</v>
      </c>
      <c r="CF17" s="781">
        <f t="shared" si="14"/>
        <v>0</v>
      </c>
      <c r="CG17" s="419" t="s">
        <v>544</v>
      </c>
      <c r="CH17" s="419" t="s">
        <v>544</v>
      </c>
      <c r="CI17" s="419" t="s">
        <v>544</v>
      </c>
      <c r="CJ17" s="419"/>
      <c r="CK17" s="10" t="s">
        <v>45</v>
      </c>
      <c r="CL17" s="10" t="s">
        <v>45</v>
      </c>
      <c r="CM17" s="9" t="s">
        <v>45</v>
      </c>
      <c r="CN17" s="9" t="s">
        <v>45</v>
      </c>
      <c r="CO17" s="9" t="s">
        <v>45</v>
      </c>
      <c r="CP17" s="9" t="s">
        <v>45</v>
      </c>
      <c r="CQ17" s="9" t="s">
        <v>45</v>
      </c>
      <c r="CR17" s="9" t="s">
        <v>45</v>
      </c>
    </row>
    <row r="18" spans="1:96" s="19" customFormat="1" ht="115.95" customHeight="1" x14ac:dyDescent="0.3">
      <c r="A18" s="4" t="s">
        <v>907</v>
      </c>
      <c r="B18" s="5" t="s">
        <v>38</v>
      </c>
      <c r="C18" s="8" t="s">
        <v>39</v>
      </c>
      <c r="D18" s="5" t="s">
        <v>40</v>
      </c>
      <c r="E18" s="22" t="s">
        <v>84</v>
      </c>
      <c r="F18" s="6" t="s">
        <v>85</v>
      </c>
      <c r="G18" s="409" t="s">
        <v>86</v>
      </c>
      <c r="H18" s="14" t="s">
        <v>44</v>
      </c>
      <c r="I18" s="14" t="s">
        <v>44</v>
      </c>
      <c r="J18" s="9" t="s">
        <v>45</v>
      </c>
      <c r="K18" s="10">
        <v>2025</v>
      </c>
      <c r="L18" s="11" t="s">
        <v>46</v>
      </c>
      <c r="M18" s="11" t="s">
        <v>47</v>
      </c>
      <c r="N18" s="11" t="s">
        <v>47</v>
      </c>
      <c r="O18" s="12">
        <v>58</v>
      </c>
      <c r="P18" s="12" t="s">
        <v>45</v>
      </c>
      <c r="Q18" s="13"/>
      <c r="R18" s="14" t="s">
        <v>48</v>
      </c>
      <c r="S18" s="15" t="s">
        <v>49</v>
      </c>
      <c r="T18" s="15" t="s">
        <v>50</v>
      </c>
      <c r="U18" s="9" t="s">
        <v>51</v>
      </c>
      <c r="V18" s="9" t="s">
        <v>52</v>
      </c>
      <c r="W18" s="9" t="s">
        <v>53</v>
      </c>
      <c r="X18" s="9" t="s">
        <v>54</v>
      </c>
      <c r="Y18" s="16" t="s">
        <v>55</v>
      </c>
      <c r="Z18" s="17">
        <v>48567.57</v>
      </c>
      <c r="AA18" s="54">
        <v>0.33329999999999999</v>
      </c>
      <c r="AB18" s="54">
        <v>0.33329999999999999</v>
      </c>
      <c r="AC18" s="54">
        <v>0.33329999999999999</v>
      </c>
      <c r="AD18" s="18">
        <f t="shared" si="0"/>
        <v>0.99990000000000001</v>
      </c>
      <c r="AE18" s="38">
        <f t="shared" si="4"/>
        <v>19206.649999999998</v>
      </c>
      <c r="AF18" s="38">
        <f t="shared" si="5"/>
        <v>19206.649999999998</v>
      </c>
      <c r="AG18" s="38">
        <f t="shared" si="6"/>
        <v>19206.649999999998</v>
      </c>
      <c r="AH18" s="38">
        <f t="shared" si="1"/>
        <v>57619.95</v>
      </c>
      <c r="AI18" s="38"/>
      <c r="AJ18" s="38"/>
      <c r="AK18" s="359"/>
      <c r="AL18" s="359"/>
      <c r="AM18" s="74">
        <f t="shared" si="2"/>
        <v>48567.57</v>
      </c>
      <c r="AN18" s="38"/>
      <c r="AO18" s="38"/>
      <c r="AP18" s="74">
        <f t="shared" si="3"/>
        <v>48567.57</v>
      </c>
      <c r="AQ18" s="38"/>
      <c r="AR18" s="38"/>
      <c r="AS18" s="74">
        <f t="shared" si="7"/>
        <v>48567.57</v>
      </c>
      <c r="AT18" s="38"/>
      <c r="AU18" s="38"/>
      <c r="AV18" s="38">
        <f t="shared" si="8"/>
        <v>48567.57</v>
      </c>
      <c r="AW18" s="38"/>
      <c r="AX18" s="38"/>
      <c r="AY18" s="38">
        <f t="shared" si="9"/>
        <v>48567.57</v>
      </c>
      <c r="AZ18" s="38"/>
      <c r="BA18" s="38"/>
      <c r="BB18" s="38">
        <f t="shared" si="10"/>
        <v>48567.57</v>
      </c>
      <c r="BC18" s="74">
        <v>9052.3799999999992</v>
      </c>
      <c r="BD18" s="74"/>
      <c r="BE18" s="38">
        <f t="shared" si="11"/>
        <v>57619.95</v>
      </c>
      <c r="BF18" s="38"/>
      <c r="BG18" s="38"/>
      <c r="BH18" s="38">
        <f t="shared" si="12"/>
        <v>57619.95</v>
      </c>
      <c r="BI18" s="38"/>
      <c r="BJ18" s="38"/>
      <c r="BK18" s="38">
        <f t="shared" si="13"/>
        <v>57619.95</v>
      </c>
      <c r="BL18" s="337" t="s">
        <v>56</v>
      </c>
      <c r="BM18" s="131"/>
      <c r="BN18" s="131"/>
      <c r="BO18" s="32" t="s">
        <v>1134</v>
      </c>
      <c r="BP18" s="67">
        <f>1863.99+85.22+91.38+365.52+829+9023.39+26298.48</f>
        <v>38556.979999999996</v>
      </c>
      <c r="BQ18" s="67"/>
      <c r="BR18" s="34"/>
      <c r="BS18" s="34"/>
      <c r="BT18" s="34"/>
      <c r="BU18" s="34"/>
      <c r="BV18" s="34"/>
      <c r="BW18" s="32" t="s">
        <v>1131</v>
      </c>
      <c r="BX18" s="67">
        <f>1863.99+85.22+91.38+365.52+829+9023.39+26298.48</f>
        <v>38556.979999999996</v>
      </c>
      <c r="BY18" s="95"/>
      <c r="BZ18" s="95"/>
      <c r="CA18" s="95"/>
      <c r="CB18" s="95"/>
      <c r="CC18" s="9" t="s">
        <v>1129</v>
      </c>
      <c r="CD18" s="67">
        <f>1863.99+85.29+525.29+555.1+91.38+525.29+2419.09+91.38+595.35+2409.86+632.92+2379.52+581.11+2459.49+2311.46+581.11+2311.46+541.96+2311.46+541.96+2351.13+541.96+2311.46+541.96+2311.46+541.96+2311.46+448.31</f>
        <v>35174.169999999991</v>
      </c>
      <c r="CE18" s="67">
        <f>1863.99+85.29+525.29+555.1+91.38+525.29+2419.09+91.38+595.35+2409.86+632.92+2379.52+581.11+2459.49+2311.46+581.11+2311.46+541.96+2311.46+541.96+2351.13+541.96+2311.46+541.96+2311.46+541.96+2311.46+448.31</f>
        <v>35174.169999999991</v>
      </c>
      <c r="CF18" s="781">
        <f t="shared" si="14"/>
        <v>0</v>
      </c>
      <c r="CG18" s="419" t="s">
        <v>544</v>
      </c>
      <c r="CH18" s="419" t="s">
        <v>544</v>
      </c>
      <c r="CI18" s="419" t="s">
        <v>544</v>
      </c>
      <c r="CJ18" s="419"/>
      <c r="CK18" s="10" t="s">
        <v>45</v>
      </c>
      <c r="CL18" s="10" t="s">
        <v>45</v>
      </c>
      <c r="CM18" s="9" t="s">
        <v>45</v>
      </c>
      <c r="CN18" s="9" t="s">
        <v>45</v>
      </c>
      <c r="CO18" s="9" t="s">
        <v>45</v>
      </c>
      <c r="CP18" s="9" t="s">
        <v>45</v>
      </c>
      <c r="CQ18" s="9" t="s">
        <v>45</v>
      </c>
      <c r="CR18" s="9" t="s">
        <v>45</v>
      </c>
    </row>
    <row r="19" spans="1:96" s="19" customFormat="1" ht="105.6" customHeight="1" x14ac:dyDescent="0.3">
      <c r="A19" s="4" t="s">
        <v>907</v>
      </c>
      <c r="B19" s="5" t="s">
        <v>38</v>
      </c>
      <c r="C19" s="8" t="s">
        <v>39</v>
      </c>
      <c r="D19" s="5" t="s">
        <v>40</v>
      </c>
      <c r="E19" s="331" t="s">
        <v>87</v>
      </c>
      <c r="F19" s="6" t="s">
        <v>88</v>
      </c>
      <c r="G19" s="409" t="s">
        <v>89</v>
      </c>
      <c r="H19" s="14" t="s">
        <v>44</v>
      </c>
      <c r="I19" s="14" t="s">
        <v>44</v>
      </c>
      <c r="J19" s="9" t="s">
        <v>45</v>
      </c>
      <c r="K19" s="10">
        <v>2025</v>
      </c>
      <c r="L19" s="11" t="s">
        <v>46</v>
      </c>
      <c r="M19" s="11" t="s">
        <v>47</v>
      </c>
      <c r="N19" s="11" t="s">
        <v>47</v>
      </c>
      <c r="O19" s="12">
        <v>58</v>
      </c>
      <c r="P19" s="12" t="s">
        <v>45</v>
      </c>
      <c r="Q19" s="13"/>
      <c r="R19" s="14" t="s">
        <v>48</v>
      </c>
      <c r="S19" s="15" t="s">
        <v>49</v>
      </c>
      <c r="T19" s="15" t="s">
        <v>50</v>
      </c>
      <c r="U19" s="9" t="s">
        <v>51</v>
      </c>
      <c r="V19" s="9" t="s">
        <v>52</v>
      </c>
      <c r="W19" s="9" t="s">
        <v>53</v>
      </c>
      <c r="X19" s="9" t="s">
        <v>54</v>
      </c>
      <c r="Y19" s="16" t="s">
        <v>55</v>
      </c>
      <c r="Z19" s="17">
        <v>10000</v>
      </c>
      <c r="AA19" s="54">
        <v>0.33329999999999999</v>
      </c>
      <c r="AB19" s="54">
        <v>0.33329999999999999</v>
      </c>
      <c r="AC19" s="54">
        <v>0.33329999999999999</v>
      </c>
      <c r="AD19" s="18">
        <f t="shared" si="0"/>
        <v>0.99990000000000001</v>
      </c>
      <c r="AE19" s="38">
        <f t="shared" si="4"/>
        <v>4858.4466666666667</v>
      </c>
      <c r="AF19" s="38">
        <f t="shared" si="5"/>
        <v>4858.4466666666667</v>
      </c>
      <c r="AG19" s="38">
        <f t="shared" si="6"/>
        <v>4858.4466666666667</v>
      </c>
      <c r="AH19" s="38">
        <f t="shared" si="1"/>
        <v>14575.34</v>
      </c>
      <c r="AI19" s="38"/>
      <c r="AJ19" s="38"/>
      <c r="AK19" s="359"/>
      <c r="AL19" s="359"/>
      <c r="AM19" s="74">
        <f t="shared" si="2"/>
        <v>10000</v>
      </c>
      <c r="AN19" s="38"/>
      <c r="AO19" s="38"/>
      <c r="AP19" s="74">
        <f t="shared" si="3"/>
        <v>10000</v>
      </c>
      <c r="AQ19" s="38"/>
      <c r="AR19" s="38"/>
      <c r="AS19" s="74">
        <f t="shared" si="7"/>
        <v>10000</v>
      </c>
      <c r="AT19" s="38"/>
      <c r="AU19" s="38"/>
      <c r="AV19" s="38">
        <f t="shared" si="8"/>
        <v>10000</v>
      </c>
      <c r="AW19" s="38"/>
      <c r="AX19" s="38"/>
      <c r="AY19" s="38">
        <f t="shared" si="9"/>
        <v>10000</v>
      </c>
      <c r="AZ19" s="38"/>
      <c r="BA19" s="38"/>
      <c r="BB19" s="38">
        <f t="shared" si="10"/>
        <v>10000</v>
      </c>
      <c r="BC19" s="74">
        <v>4575.34</v>
      </c>
      <c r="BD19" s="74"/>
      <c r="BE19" s="38">
        <f t="shared" si="11"/>
        <v>14575.34</v>
      </c>
      <c r="BF19" s="38"/>
      <c r="BG19" s="38"/>
      <c r="BH19" s="38">
        <f t="shared" si="12"/>
        <v>14575.34</v>
      </c>
      <c r="BI19" s="38"/>
      <c r="BJ19" s="38"/>
      <c r="BK19" s="38">
        <f t="shared" si="13"/>
        <v>14575.34</v>
      </c>
      <c r="BL19" s="337" t="s">
        <v>56</v>
      </c>
      <c r="BM19" s="131"/>
      <c r="BN19" s="131"/>
      <c r="BO19" s="32" t="s">
        <v>1067</v>
      </c>
      <c r="BP19" s="67">
        <f>819.09+15.55+679.02+285.07+172.71</f>
        <v>1971.4399999999998</v>
      </c>
      <c r="BQ19" s="67"/>
      <c r="BR19" s="34"/>
      <c r="BS19" s="34"/>
      <c r="BT19" s="34"/>
      <c r="BU19" s="34"/>
      <c r="BV19" s="34"/>
      <c r="BW19" s="32" t="s">
        <v>1044</v>
      </c>
      <c r="BX19" s="67">
        <f>819.09+15.55+679.02+285.07+172.71</f>
        <v>1971.4399999999998</v>
      </c>
      <c r="BY19" s="95"/>
      <c r="BZ19" s="95"/>
      <c r="CA19" s="95"/>
      <c r="CB19" s="95"/>
      <c r="CC19" s="9" t="s">
        <v>1043</v>
      </c>
      <c r="CD19" s="67">
        <f>819.09+15.55+679.02+172.71+285.07</f>
        <v>1971.4399999999998</v>
      </c>
      <c r="CE19" s="67">
        <f>819.09+15.55+679.02+172.71+285.07</f>
        <v>1971.4399999999998</v>
      </c>
      <c r="CF19" s="781">
        <f t="shared" si="14"/>
        <v>0</v>
      </c>
      <c r="CG19" s="419" t="s">
        <v>544</v>
      </c>
      <c r="CH19" s="419" t="s">
        <v>544</v>
      </c>
      <c r="CI19" s="419" t="s">
        <v>544</v>
      </c>
      <c r="CJ19" s="419"/>
      <c r="CK19" s="10" t="s">
        <v>45</v>
      </c>
      <c r="CL19" s="10" t="s">
        <v>45</v>
      </c>
      <c r="CM19" s="9" t="s">
        <v>45</v>
      </c>
      <c r="CN19" s="9" t="s">
        <v>45</v>
      </c>
      <c r="CO19" s="9" t="s">
        <v>45</v>
      </c>
      <c r="CP19" s="9" t="s">
        <v>45</v>
      </c>
      <c r="CQ19" s="9" t="s">
        <v>45</v>
      </c>
      <c r="CR19" s="9" t="s">
        <v>45</v>
      </c>
    </row>
    <row r="20" spans="1:96" s="3" customFormat="1" ht="121.2" customHeight="1" x14ac:dyDescent="0.3">
      <c r="A20" s="4" t="s">
        <v>907</v>
      </c>
      <c r="B20" s="8" t="s">
        <v>90</v>
      </c>
      <c r="C20" s="8" t="s">
        <v>91</v>
      </c>
      <c r="D20" s="8" t="s">
        <v>92</v>
      </c>
      <c r="E20" s="22" t="s">
        <v>112</v>
      </c>
      <c r="F20" s="6" t="s">
        <v>113</v>
      </c>
      <c r="G20" s="32" t="s">
        <v>114</v>
      </c>
      <c r="H20" s="14" t="s">
        <v>44</v>
      </c>
      <c r="I20" s="14" t="s">
        <v>44</v>
      </c>
      <c r="J20" s="9" t="s">
        <v>96</v>
      </c>
      <c r="K20" s="10">
        <v>2025</v>
      </c>
      <c r="L20" s="11" t="s">
        <v>46</v>
      </c>
      <c r="M20" s="11" t="s">
        <v>47</v>
      </c>
      <c r="N20" s="11" t="s">
        <v>47</v>
      </c>
      <c r="O20" s="12">
        <v>12</v>
      </c>
      <c r="P20" s="4" t="s">
        <v>115</v>
      </c>
      <c r="Q20" s="13"/>
      <c r="R20" s="14" t="s">
        <v>48</v>
      </c>
      <c r="S20" s="14" t="s">
        <v>49</v>
      </c>
      <c r="T20" s="14" t="s">
        <v>50</v>
      </c>
      <c r="U20" s="9" t="s">
        <v>51</v>
      </c>
      <c r="V20" s="9" t="s">
        <v>52</v>
      </c>
      <c r="W20" s="9" t="s">
        <v>53</v>
      </c>
      <c r="X20" s="9" t="s">
        <v>54</v>
      </c>
      <c r="Y20" s="16" t="s">
        <v>55</v>
      </c>
      <c r="Z20" s="74">
        <v>5250</v>
      </c>
      <c r="AA20" s="55"/>
      <c r="AB20" s="55"/>
      <c r="AC20" s="55">
        <v>1</v>
      </c>
      <c r="AD20" s="18">
        <f>+AA20+AB20+AC20</f>
        <v>1</v>
      </c>
      <c r="AE20" s="38"/>
      <c r="AF20" s="38"/>
      <c r="AG20" s="38">
        <v>7427.34</v>
      </c>
      <c r="AH20" s="38">
        <f t="shared" si="1"/>
        <v>7427.34</v>
      </c>
      <c r="AI20" s="38"/>
      <c r="AJ20" s="38"/>
      <c r="AK20" s="359"/>
      <c r="AL20" s="359"/>
      <c r="AM20" s="74">
        <f>+Z20+AI20-AJ20+AK20-AL20</f>
        <v>5250</v>
      </c>
      <c r="AN20" s="38"/>
      <c r="AO20" s="38"/>
      <c r="AP20" s="74">
        <f>+AM20+AN20-AO20</f>
        <v>5250</v>
      </c>
      <c r="AQ20" s="38"/>
      <c r="AR20" s="38"/>
      <c r="AS20" s="74">
        <f>+AP20+AQ20-AR20</f>
        <v>5250</v>
      </c>
      <c r="AT20" s="38"/>
      <c r="AU20" s="38"/>
      <c r="AV20" s="38">
        <f>+AS20+AT20-AU20</f>
        <v>5250</v>
      </c>
      <c r="AW20" s="38"/>
      <c r="AX20" s="38"/>
      <c r="AY20" s="38">
        <f>+AV20+AW20-AX20</f>
        <v>5250</v>
      </c>
      <c r="AZ20" s="38"/>
      <c r="BA20" s="38"/>
      <c r="BB20" s="38">
        <f>+AY20+AZ20-BA20</f>
        <v>5250</v>
      </c>
      <c r="BC20" s="74">
        <v>2177.34</v>
      </c>
      <c r="BD20" s="74"/>
      <c r="BE20" s="38">
        <f t="shared" si="11"/>
        <v>7427.34</v>
      </c>
      <c r="BF20" s="38"/>
      <c r="BG20" s="38"/>
      <c r="BH20" s="38">
        <f t="shared" si="12"/>
        <v>7427.34</v>
      </c>
      <c r="BI20" s="38"/>
      <c r="BJ20" s="38"/>
      <c r="BK20" s="38">
        <f t="shared" si="13"/>
        <v>7427.34</v>
      </c>
      <c r="BL20" s="337" t="s">
        <v>56</v>
      </c>
      <c r="BM20" s="131"/>
      <c r="BN20" s="131"/>
      <c r="BO20" s="10"/>
      <c r="BP20" s="10"/>
      <c r="BQ20" s="10"/>
      <c r="BR20" s="10"/>
      <c r="BS20" s="10"/>
      <c r="BT20" s="10"/>
      <c r="BU20" s="10"/>
      <c r="BV20" s="10"/>
      <c r="BW20" s="99"/>
      <c r="BX20" s="99"/>
      <c r="BY20" s="99"/>
      <c r="BZ20" s="99"/>
      <c r="CA20" s="99"/>
      <c r="CB20" s="99"/>
      <c r="CC20" s="99"/>
      <c r="CD20" s="100"/>
      <c r="CE20" s="100"/>
      <c r="CF20" s="781">
        <f t="shared" si="14"/>
        <v>0</v>
      </c>
      <c r="CG20" s="420" t="s">
        <v>974</v>
      </c>
      <c r="CH20" s="134"/>
      <c r="CI20" s="412"/>
      <c r="CJ20" s="412"/>
      <c r="CK20" s="58">
        <v>45701</v>
      </c>
      <c r="CL20" s="59">
        <v>45712</v>
      </c>
      <c r="CM20" s="8" t="s">
        <v>333</v>
      </c>
      <c r="CN20" s="9" t="s">
        <v>336</v>
      </c>
      <c r="CO20" s="9" t="s">
        <v>338</v>
      </c>
      <c r="CP20" s="9" t="str">
        <f>+CM20</f>
        <v>EDISON STALIN MEDINA ARIAS</v>
      </c>
      <c r="CQ20" s="9"/>
      <c r="CR20" s="75" t="s">
        <v>443</v>
      </c>
    </row>
    <row r="21" spans="1:96" s="19" customFormat="1" ht="130.5" customHeight="1" x14ac:dyDescent="0.3">
      <c r="A21" s="4" t="s">
        <v>907</v>
      </c>
      <c r="B21" s="5" t="s">
        <v>90</v>
      </c>
      <c r="C21" s="5" t="s">
        <v>91</v>
      </c>
      <c r="D21" s="5" t="s">
        <v>92</v>
      </c>
      <c r="E21" s="22" t="s">
        <v>112</v>
      </c>
      <c r="F21" s="6" t="s">
        <v>113</v>
      </c>
      <c r="G21" s="32" t="s">
        <v>116</v>
      </c>
      <c r="H21" s="14" t="s">
        <v>44</v>
      </c>
      <c r="I21" s="14" t="s">
        <v>44</v>
      </c>
      <c r="J21" s="9" t="s">
        <v>96</v>
      </c>
      <c r="K21" s="10">
        <v>2025</v>
      </c>
      <c r="L21" s="11" t="s">
        <v>46</v>
      </c>
      <c r="M21" s="11" t="s">
        <v>47</v>
      </c>
      <c r="N21" s="11" t="s">
        <v>47</v>
      </c>
      <c r="O21" s="12">
        <v>46</v>
      </c>
      <c r="P21" s="4" t="s">
        <v>117</v>
      </c>
      <c r="Q21" s="13"/>
      <c r="R21" s="14" t="s">
        <v>48</v>
      </c>
      <c r="S21" s="15" t="s">
        <v>49</v>
      </c>
      <c r="T21" s="15" t="s">
        <v>50</v>
      </c>
      <c r="U21" s="9" t="s">
        <v>51</v>
      </c>
      <c r="V21" s="9" t="s">
        <v>52</v>
      </c>
      <c r="W21" s="9" t="s">
        <v>53</v>
      </c>
      <c r="X21" s="9" t="s">
        <v>54</v>
      </c>
      <c r="Y21" s="16" t="s">
        <v>55</v>
      </c>
      <c r="Z21" s="23">
        <f>29750+10000-987.5-16630.79</f>
        <v>22131.71</v>
      </c>
      <c r="AA21" s="55">
        <v>0.33329999999999999</v>
      </c>
      <c r="AB21" s="55">
        <v>0.33329999999999999</v>
      </c>
      <c r="AC21" s="55">
        <v>0.33329999999999999</v>
      </c>
      <c r="AD21" s="18">
        <f>+AA21+AB21+AC21</f>
        <v>0.99990000000000001</v>
      </c>
      <c r="AE21" s="38"/>
      <c r="AF21" s="38"/>
      <c r="AG21" s="38">
        <f>+BK21</f>
        <v>2157.0809999999983</v>
      </c>
      <c r="AH21" s="38">
        <f t="shared" si="1"/>
        <v>2157.0809999999983</v>
      </c>
      <c r="AI21" s="38"/>
      <c r="AJ21" s="38"/>
      <c r="AK21" s="359"/>
      <c r="AL21" s="359"/>
      <c r="AM21" s="74">
        <f>+Z21+AI21-AJ21+AK21-AL21</f>
        <v>22131.71</v>
      </c>
      <c r="AN21" s="38"/>
      <c r="AO21" s="38">
        <v>3175.0590000000002</v>
      </c>
      <c r="AP21" s="74">
        <f>+AM21+AN21-AO21</f>
        <v>18956.650999999998</v>
      </c>
      <c r="AQ21" s="38"/>
      <c r="AR21" s="38"/>
      <c r="AS21" s="74">
        <f>+AP21+AQ21-AR21</f>
        <v>18956.650999999998</v>
      </c>
      <c r="AT21" s="38"/>
      <c r="AU21" s="38">
        <v>16799.57</v>
      </c>
      <c r="AV21" s="38">
        <f>+AS21+AT21-AU21</f>
        <v>2157.0809999999983</v>
      </c>
      <c r="AW21" s="38"/>
      <c r="AX21" s="38"/>
      <c r="AY21" s="38">
        <f>+AV21+AW21-AX21</f>
        <v>2157.0809999999983</v>
      </c>
      <c r="AZ21" s="38"/>
      <c r="BA21" s="38"/>
      <c r="BB21" s="38">
        <f>+AY21+AZ21-BA21</f>
        <v>2157.0809999999983</v>
      </c>
      <c r="BC21" s="74"/>
      <c r="BD21" s="74"/>
      <c r="BE21" s="38">
        <f t="shared" si="11"/>
        <v>2157.0809999999983</v>
      </c>
      <c r="BF21" s="38"/>
      <c r="BG21" s="38"/>
      <c r="BH21" s="38">
        <f t="shared" si="12"/>
        <v>2157.0809999999983</v>
      </c>
      <c r="BI21" s="38"/>
      <c r="BJ21" s="38"/>
      <c r="BK21" s="38">
        <f t="shared" si="13"/>
        <v>2157.0809999999983</v>
      </c>
      <c r="BL21" s="337" t="s">
        <v>56</v>
      </c>
      <c r="BM21" s="131"/>
      <c r="BN21" s="131"/>
      <c r="BO21" s="34"/>
      <c r="BP21" s="34"/>
      <c r="BQ21" s="34"/>
      <c r="BR21" s="34"/>
      <c r="BS21" s="34"/>
      <c r="BT21" s="34"/>
      <c r="BU21" s="34"/>
      <c r="BV21" s="34"/>
      <c r="BW21" s="95"/>
      <c r="BX21" s="95"/>
      <c r="BY21" s="95"/>
      <c r="BZ21" s="95"/>
      <c r="CA21" s="95"/>
      <c r="CB21" s="95"/>
      <c r="CC21" s="99"/>
      <c r="CD21" s="96"/>
      <c r="CE21" s="96"/>
      <c r="CF21" s="781">
        <f t="shared" si="14"/>
        <v>0</v>
      </c>
      <c r="CG21" s="420" t="s">
        <v>974</v>
      </c>
      <c r="CH21" s="134"/>
      <c r="CI21" s="412"/>
      <c r="CJ21" s="412"/>
      <c r="CK21" s="58" t="s">
        <v>444</v>
      </c>
      <c r="CL21" s="59" t="s">
        <v>444</v>
      </c>
      <c r="CM21" s="8" t="s">
        <v>339</v>
      </c>
      <c r="CN21" s="9" t="s">
        <v>340</v>
      </c>
      <c r="CO21" s="9" t="s">
        <v>341</v>
      </c>
      <c r="CP21" s="9" t="s">
        <v>333</v>
      </c>
      <c r="CQ21" s="9"/>
      <c r="CR21" s="75" t="s">
        <v>443</v>
      </c>
    </row>
    <row r="22" spans="1:96" s="19" customFormat="1" ht="123" customHeight="1" x14ac:dyDescent="0.3">
      <c r="A22" s="4" t="s">
        <v>907</v>
      </c>
      <c r="B22" s="5" t="s">
        <v>90</v>
      </c>
      <c r="C22" s="5" t="s">
        <v>91</v>
      </c>
      <c r="D22" s="5" t="s">
        <v>92</v>
      </c>
      <c r="E22" s="22" t="s">
        <v>571</v>
      </c>
      <c r="F22" s="6" t="s">
        <v>572</v>
      </c>
      <c r="G22" s="32" t="s">
        <v>570</v>
      </c>
      <c r="H22" s="14" t="s">
        <v>44</v>
      </c>
      <c r="I22" s="14" t="s">
        <v>44</v>
      </c>
      <c r="J22" s="9" t="s">
        <v>96</v>
      </c>
      <c r="K22" s="10">
        <v>2025</v>
      </c>
      <c r="L22" s="11" t="s">
        <v>46</v>
      </c>
      <c r="M22" s="11" t="s">
        <v>47</v>
      </c>
      <c r="N22" s="11" t="s">
        <v>47</v>
      </c>
      <c r="O22" s="12">
        <v>46</v>
      </c>
      <c r="P22" s="4" t="s">
        <v>117</v>
      </c>
      <c r="Q22" s="13"/>
      <c r="R22" s="14" t="s">
        <v>48</v>
      </c>
      <c r="S22" s="15" t="s">
        <v>49</v>
      </c>
      <c r="T22" s="15" t="s">
        <v>50</v>
      </c>
      <c r="U22" s="9" t="s">
        <v>51</v>
      </c>
      <c r="V22" s="9" t="s">
        <v>52</v>
      </c>
      <c r="W22" s="9" t="s">
        <v>53</v>
      </c>
      <c r="X22" s="9" t="s">
        <v>54</v>
      </c>
      <c r="Y22" s="16" t="s">
        <v>55</v>
      </c>
      <c r="Z22" s="23">
        <f>29750+10000-987.5-16630.79</f>
        <v>22131.71</v>
      </c>
      <c r="AA22" s="55"/>
      <c r="AB22" s="55"/>
      <c r="AC22" s="55">
        <v>1</v>
      </c>
      <c r="AD22" s="18">
        <f t="shared" ref="AD22" si="15">+AA22+AB22+AC22</f>
        <v>1</v>
      </c>
      <c r="AE22" s="38"/>
      <c r="AF22" s="38"/>
      <c r="AG22" s="38">
        <v>14915</v>
      </c>
      <c r="AH22" s="38">
        <f t="shared" si="1"/>
        <v>14915</v>
      </c>
      <c r="AI22" s="38"/>
      <c r="AJ22" s="38"/>
      <c r="AK22" s="359"/>
      <c r="AL22" s="359"/>
      <c r="AM22" s="74">
        <f t="shared" ref="AM22" si="16">+Z22+AI22-AJ22+AK22-AL22</f>
        <v>22131.71</v>
      </c>
      <c r="AN22" s="38"/>
      <c r="AO22" s="38">
        <v>3175.0590000000002</v>
      </c>
      <c r="AP22" s="74">
        <f t="shared" ref="AP22" si="17">+AM22+AN22-AO22</f>
        <v>18956.650999999998</v>
      </c>
      <c r="AQ22" s="38"/>
      <c r="AR22" s="38"/>
      <c r="AS22" s="74">
        <f t="shared" ref="AS22" si="18">+AP22+AQ22-AR22</f>
        <v>18956.650999999998</v>
      </c>
      <c r="AT22" s="38"/>
      <c r="AU22" s="38">
        <v>16799.57</v>
      </c>
      <c r="AV22" s="38">
        <f t="shared" ref="AV22" si="19">+AS22+AT22-AU22</f>
        <v>2157.0809999999983</v>
      </c>
      <c r="AW22" s="38"/>
      <c r="AX22" s="38"/>
      <c r="AY22" s="38">
        <f t="shared" ref="AY22" si="20">+AV22+AW22-AX22</f>
        <v>2157.0809999999983</v>
      </c>
      <c r="AZ22" s="38"/>
      <c r="BA22" s="38"/>
      <c r="BB22" s="38">
        <v>0</v>
      </c>
      <c r="BC22" s="74">
        <v>17000</v>
      </c>
      <c r="BD22" s="74"/>
      <c r="BE22" s="38">
        <f t="shared" si="11"/>
        <v>17000</v>
      </c>
      <c r="BF22" s="38"/>
      <c r="BG22" s="38">
        <f>2175-90</f>
        <v>2085</v>
      </c>
      <c r="BH22" s="38">
        <f t="shared" si="12"/>
        <v>14915</v>
      </c>
      <c r="BI22" s="38"/>
      <c r="BJ22" s="38"/>
      <c r="BK22" s="38">
        <f t="shared" si="13"/>
        <v>14915</v>
      </c>
      <c r="BL22" s="337" t="s">
        <v>56</v>
      </c>
      <c r="BM22" s="131"/>
      <c r="BN22" s="131"/>
      <c r="BO22" s="34"/>
      <c r="BP22" s="34"/>
      <c r="BQ22" s="34"/>
      <c r="BR22" s="34"/>
      <c r="BS22" s="34"/>
      <c r="BT22" s="34"/>
      <c r="BU22" s="34"/>
      <c r="BV22" s="34"/>
      <c r="BW22" s="95"/>
      <c r="BX22" s="95"/>
      <c r="BY22" s="95"/>
      <c r="BZ22" s="95"/>
      <c r="CA22" s="95"/>
      <c r="CB22" s="95"/>
      <c r="CC22" s="99"/>
      <c r="CD22" s="96"/>
      <c r="CE22" s="96"/>
      <c r="CF22" s="781">
        <f t="shared" si="14"/>
        <v>0</v>
      </c>
      <c r="CG22" s="420" t="s">
        <v>974</v>
      </c>
      <c r="CH22" s="134"/>
      <c r="CI22" s="412"/>
      <c r="CJ22" s="412"/>
      <c r="CK22" s="58"/>
      <c r="CL22" s="59"/>
      <c r="CM22" s="8"/>
      <c r="CN22" s="9"/>
      <c r="CO22" s="9"/>
      <c r="CP22" s="9"/>
      <c r="CQ22" s="9"/>
      <c r="CR22" s="14"/>
    </row>
    <row r="23" spans="1:96" s="19" customFormat="1" ht="121.2" customHeight="1" x14ac:dyDescent="0.3">
      <c r="A23" s="4" t="s">
        <v>907</v>
      </c>
      <c r="B23" s="5" t="s">
        <v>90</v>
      </c>
      <c r="C23" s="5" t="s">
        <v>91</v>
      </c>
      <c r="D23" s="5" t="s">
        <v>92</v>
      </c>
      <c r="E23" s="22" t="s">
        <v>106</v>
      </c>
      <c r="F23" s="8" t="s">
        <v>107</v>
      </c>
      <c r="G23" s="32" t="s">
        <v>498</v>
      </c>
      <c r="H23" s="14" t="s">
        <v>44</v>
      </c>
      <c r="I23" s="14" t="s">
        <v>44</v>
      </c>
      <c r="J23" s="9" t="s">
        <v>96</v>
      </c>
      <c r="K23" s="10">
        <v>2025</v>
      </c>
      <c r="L23" s="11" t="s">
        <v>46</v>
      </c>
      <c r="M23" s="11" t="s">
        <v>47</v>
      </c>
      <c r="N23" s="11" t="s">
        <v>47</v>
      </c>
      <c r="O23" s="12">
        <v>58</v>
      </c>
      <c r="P23" s="4" t="s">
        <v>108</v>
      </c>
      <c r="Q23" s="13"/>
      <c r="R23" s="14" t="s">
        <v>48</v>
      </c>
      <c r="S23" s="15" t="s">
        <v>49</v>
      </c>
      <c r="T23" s="15" t="s">
        <v>50</v>
      </c>
      <c r="U23" s="9" t="s">
        <v>51</v>
      </c>
      <c r="V23" s="9" t="s">
        <v>52</v>
      </c>
      <c r="W23" s="9" t="s">
        <v>53</v>
      </c>
      <c r="X23" s="9" t="s">
        <v>54</v>
      </c>
      <c r="Y23" s="16" t="s">
        <v>55</v>
      </c>
      <c r="Z23" s="21">
        <v>25000</v>
      </c>
      <c r="AA23" s="55"/>
      <c r="AB23" s="55">
        <v>1</v>
      </c>
      <c r="AC23" s="55"/>
      <c r="AD23" s="18">
        <f t="shared" si="0"/>
        <v>1</v>
      </c>
      <c r="AE23" s="38"/>
      <c r="AF23" s="38">
        <v>25000</v>
      </c>
      <c r="AG23" s="38"/>
      <c r="AH23" s="38">
        <f t="shared" si="1"/>
        <v>25000</v>
      </c>
      <c r="AI23" s="38"/>
      <c r="AJ23" s="38"/>
      <c r="AK23" s="359"/>
      <c r="AL23" s="359"/>
      <c r="AM23" s="74">
        <f t="shared" si="2"/>
        <v>25000</v>
      </c>
      <c r="AN23" s="38"/>
      <c r="AO23" s="38"/>
      <c r="AP23" s="74">
        <f t="shared" si="3"/>
        <v>25000</v>
      </c>
      <c r="AQ23" s="38"/>
      <c r="AR23" s="38"/>
      <c r="AS23" s="74">
        <f t="shared" si="7"/>
        <v>25000</v>
      </c>
      <c r="AT23" s="38"/>
      <c r="AU23" s="38"/>
      <c r="AV23" s="38">
        <f t="shared" si="8"/>
        <v>25000</v>
      </c>
      <c r="AW23" s="38"/>
      <c r="AX23" s="38"/>
      <c r="AY23" s="38">
        <f t="shared" si="9"/>
        <v>25000</v>
      </c>
      <c r="AZ23" s="38"/>
      <c r="BA23" s="38"/>
      <c r="BB23" s="38">
        <f t="shared" si="10"/>
        <v>25000</v>
      </c>
      <c r="BC23" s="74"/>
      <c r="BD23" s="74"/>
      <c r="BE23" s="38">
        <f t="shared" si="11"/>
        <v>25000</v>
      </c>
      <c r="BF23" s="38"/>
      <c r="BG23" s="38"/>
      <c r="BH23" s="38">
        <f t="shared" si="12"/>
        <v>25000</v>
      </c>
      <c r="BI23" s="38"/>
      <c r="BJ23" s="38"/>
      <c r="BK23" s="38">
        <f t="shared" si="13"/>
        <v>25000</v>
      </c>
      <c r="BL23" s="337" t="s">
        <v>56</v>
      </c>
      <c r="BM23" s="131"/>
      <c r="BN23" s="131"/>
      <c r="BO23" s="32" t="s">
        <v>499</v>
      </c>
      <c r="BP23" s="67">
        <v>25000</v>
      </c>
      <c r="BQ23" s="67"/>
      <c r="BR23" s="34"/>
      <c r="BS23" s="34"/>
      <c r="BT23" s="34"/>
      <c r="BU23" s="34"/>
      <c r="BV23" s="34"/>
      <c r="BW23" s="34" t="s">
        <v>500</v>
      </c>
      <c r="BX23" s="67">
        <v>25000</v>
      </c>
      <c r="BY23" s="95"/>
      <c r="BZ23" s="95"/>
      <c r="CA23" s="95"/>
      <c r="CB23" s="95"/>
      <c r="CC23" s="10" t="s">
        <v>514</v>
      </c>
      <c r="CD23" s="67">
        <v>25000</v>
      </c>
      <c r="CE23" s="67">
        <v>25000</v>
      </c>
      <c r="CF23" s="781">
        <f t="shared" si="14"/>
        <v>0</v>
      </c>
      <c r="CG23" s="419" t="s">
        <v>544</v>
      </c>
      <c r="CH23" s="419" t="s">
        <v>544</v>
      </c>
      <c r="CI23" s="419" t="s">
        <v>544</v>
      </c>
      <c r="CJ23" s="419"/>
      <c r="CK23" s="58">
        <v>45705</v>
      </c>
      <c r="CL23" s="59">
        <v>45712</v>
      </c>
      <c r="CM23" s="8" t="s">
        <v>333</v>
      </c>
      <c r="CN23" s="8" t="s">
        <v>334</v>
      </c>
      <c r="CO23" s="8" t="s">
        <v>335</v>
      </c>
      <c r="CP23" s="8" t="s">
        <v>333</v>
      </c>
      <c r="CQ23" s="9" t="s">
        <v>467</v>
      </c>
      <c r="CR23" s="75" t="s">
        <v>475</v>
      </c>
    </row>
    <row r="24" spans="1:96" s="19" customFormat="1" ht="158.1" customHeight="1" x14ac:dyDescent="0.3">
      <c r="A24" s="4" t="s">
        <v>907</v>
      </c>
      <c r="B24" s="5" t="s">
        <v>90</v>
      </c>
      <c r="C24" s="8" t="s">
        <v>91</v>
      </c>
      <c r="D24" s="5" t="s">
        <v>92</v>
      </c>
      <c r="E24" s="22" t="s">
        <v>109</v>
      </c>
      <c r="F24" s="8" t="s">
        <v>110</v>
      </c>
      <c r="G24" s="32" t="s">
        <v>111</v>
      </c>
      <c r="H24" s="14" t="s">
        <v>44</v>
      </c>
      <c r="I24" s="14" t="s">
        <v>44</v>
      </c>
      <c r="J24" s="9" t="s">
        <v>96</v>
      </c>
      <c r="K24" s="10">
        <v>2025</v>
      </c>
      <c r="L24" s="11" t="s">
        <v>46</v>
      </c>
      <c r="M24" s="11" t="s">
        <v>47</v>
      </c>
      <c r="N24" s="11" t="s">
        <v>47</v>
      </c>
      <c r="O24" s="16" t="s">
        <v>45</v>
      </c>
      <c r="P24" s="16" t="s">
        <v>45</v>
      </c>
      <c r="Q24" s="13"/>
      <c r="R24" s="14" t="s">
        <v>48</v>
      </c>
      <c r="S24" s="15" t="s">
        <v>49</v>
      </c>
      <c r="T24" s="15" t="s">
        <v>50</v>
      </c>
      <c r="U24" s="9" t="s">
        <v>51</v>
      </c>
      <c r="V24" s="9" t="s">
        <v>52</v>
      </c>
      <c r="W24" s="9" t="s">
        <v>53</v>
      </c>
      <c r="X24" s="9" t="s">
        <v>54</v>
      </c>
      <c r="Y24" s="16" t="s">
        <v>55</v>
      </c>
      <c r="Z24" s="21">
        <v>12000</v>
      </c>
      <c r="AA24" s="55">
        <v>0.33329999999999999</v>
      </c>
      <c r="AB24" s="55">
        <v>0.33329999999999999</v>
      </c>
      <c r="AC24" s="55">
        <v>0.33329999999999999</v>
      </c>
      <c r="AD24" s="18">
        <f t="shared" si="0"/>
        <v>0.99990000000000001</v>
      </c>
      <c r="AE24" s="38">
        <v>4000</v>
      </c>
      <c r="AF24" s="38">
        <v>4000</v>
      </c>
      <c r="AG24" s="38">
        <v>4000</v>
      </c>
      <c r="AH24" s="38">
        <f t="shared" si="1"/>
        <v>12000</v>
      </c>
      <c r="AI24" s="38"/>
      <c r="AJ24" s="38"/>
      <c r="AK24" s="359"/>
      <c r="AL24" s="359"/>
      <c r="AM24" s="74">
        <f t="shared" si="2"/>
        <v>12000</v>
      </c>
      <c r="AN24" s="38"/>
      <c r="AO24" s="38"/>
      <c r="AP24" s="74">
        <f t="shared" si="3"/>
        <v>12000</v>
      </c>
      <c r="AQ24" s="38"/>
      <c r="AR24" s="38"/>
      <c r="AS24" s="74">
        <f t="shared" si="7"/>
        <v>12000</v>
      </c>
      <c r="AT24" s="38"/>
      <c r="AU24" s="38"/>
      <c r="AV24" s="38">
        <f t="shared" si="8"/>
        <v>12000</v>
      </c>
      <c r="AW24" s="38"/>
      <c r="AX24" s="38"/>
      <c r="AY24" s="38">
        <f t="shared" si="9"/>
        <v>12000</v>
      </c>
      <c r="AZ24" s="38"/>
      <c r="BA24" s="38"/>
      <c r="BB24" s="38">
        <f t="shared" si="10"/>
        <v>12000</v>
      </c>
      <c r="BC24" s="74"/>
      <c r="BD24" s="74"/>
      <c r="BE24" s="38">
        <f t="shared" si="11"/>
        <v>12000</v>
      </c>
      <c r="BF24" s="38"/>
      <c r="BG24" s="38"/>
      <c r="BH24" s="38">
        <f t="shared" si="12"/>
        <v>12000</v>
      </c>
      <c r="BI24" s="38"/>
      <c r="BJ24" s="38"/>
      <c r="BK24" s="38">
        <f t="shared" si="13"/>
        <v>12000</v>
      </c>
      <c r="BL24" s="337" t="s">
        <v>56</v>
      </c>
      <c r="BM24" s="131"/>
      <c r="BN24" s="131"/>
      <c r="BO24" s="32" t="s">
        <v>503</v>
      </c>
      <c r="BP24" s="67">
        <f>850+9350</f>
        <v>10200</v>
      </c>
      <c r="BQ24" s="67"/>
      <c r="BR24" s="67">
        <v>850</v>
      </c>
      <c r="BS24" s="67"/>
      <c r="BT24" s="67"/>
      <c r="BU24" s="67"/>
      <c r="BV24" s="67"/>
      <c r="BW24" s="109" t="s">
        <v>527</v>
      </c>
      <c r="BX24" s="107">
        <f>850+9350</f>
        <v>10200</v>
      </c>
      <c r="BY24" s="107">
        <v>850</v>
      </c>
      <c r="BZ24" s="107"/>
      <c r="CA24" s="107"/>
      <c r="CB24" s="107"/>
      <c r="CC24" s="9" t="s">
        <v>1109</v>
      </c>
      <c r="CD24" s="67">
        <f>850+850+850+850+850+850+850+850+850+850+850+453.33</f>
        <v>9803.33</v>
      </c>
      <c r="CE24" s="67">
        <f>850+850+850+850+850+850+850+850+850+850+850+453.33</f>
        <v>9803.33</v>
      </c>
      <c r="CF24" s="781">
        <f t="shared" si="14"/>
        <v>0</v>
      </c>
      <c r="CG24" s="419" t="s">
        <v>544</v>
      </c>
      <c r="CH24" s="419" t="s">
        <v>544</v>
      </c>
      <c r="CI24" s="419" t="s">
        <v>544</v>
      </c>
      <c r="CJ24" s="419"/>
      <c r="CK24" s="10" t="s">
        <v>45</v>
      </c>
      <c r="CL24" s="10" t="s">
        <v>45</v>
      </c>
      <c r="CM24" s="9" t="s">
        <v>45</v>
      </c>
      <c r="CN24" s="9" t="s">
        <v>45</v>
      </c>
      <c r="CO24" s="9" t="s">
        <v>45</v>
      </c>
      <c r="CP24" s="9" t="s">
        <v>45</v>
      </c>
      <c r="CQ24" s="9" t="s">
        <v>45</v>
      </c>
      <c r="CR24" s="9" t="s">
        <v>45</v>
      </c>
    </row>
    <row r="25" spans="1:96" s="19" customFormat="1" ht="121.2" customHeight="1" x14ac:dyDescent="0.3">
      <c r="A25" s="4" t="s">
        <v>907</v>
      </c>
      <c r="B25" s="5" t="s">
        <v>90</v>
      </c>
      <c r="C25" s="5" t="s">
        <v>91</v>
      </c>
      <c r="D25" s="5" t="s">
        <v>92</v>
      </c>
      <c r="E25" s="22" t="s">
        <v>153</v>
      </c>
      <c r="F25" s="8" t="s">
        <v>154</v>
      </c>
      <c r="G25" s="32" t="s">
        <v>155</v>
      </c>
      <c r="H25" s="14" t="s">
        <v>44</v>
      </c>
      <c r="I25" s="14" t="s">
        <v>44</v>
      </c>
      <c r="J25" s="14" t="s">
        <v>156</v>
      </c>
      <c r="K25" s="22">
        <v>2025</v>
      </c>
      <c r="L25" s="26" t="s">
        <v>46</v>
      </c>
      <c r="M25" s="11" t="s">
        <v>47</v>
      </c>
      <c r="N25" s="11" t="s">
        <v>47</v>
      </c>
      <c r="O25" s="4">
        <v>12</v>
      </c>
      <c r="P25" s="4" t="s">
        <v>157</v>
      </c>
      <c r="Q25" s="27"/>
      <c r="R25" s="14" t="s">
        <v>48</v>
      </c>
      <c r="S25" s="15" t="s">
        <v>49</v>
      </c>
      <c r="T25" s="15" t="s">
        <v>50</v>
      </c>
      <c r="U25" s="14" t="s">
        <v>51</v>
      </c>
      <c r="V25" s="14" t="s">
        <v>52</v>
      </c>
      <c r="W25" s="14" t="s">
        <v>53</v>
      </c>
      <c r="X25" s="14" t="s">
        <v>54</v>
      </c>
      <c r="Y25" s="33" t="s">
        <v>55</v>
      </c>
      <c r="Z25" s="23">
        <v>2400</v>
      </c>
      <c r="AA25" s="34"/>
      <c r="AB25" s="55"/>
      <c r="AC25" s="55">
        <v>1</v>
      </c>
      <c r="AD25" s="18">
        <f>+AA25+AB25+AC25</f>
        <v>1</v>
      </c>
      <c r="AE25" s="38"/>
      <c r="AF25" s="38"/>
      <c r="AG25" s="38">
        <v>2400</v>
      </c>
      <c r="AH25" s="38">
        <f t="shared" si="1"/>
        <v>2400</v>
      </c>
      <c r="AI25" s="38"/>
      <c r="AJ25" s="38"/>
      <c r="AK25" s="359"/>
      <c r="AL25" s="359"/>
      <c r="AM25" s="74">
        <f>+Z25+AI25-AJ25+AK25-AL25</f>
        <v>2400</v>
      </c>
      <c r="AN25" s="38"/>
      <c r="AO25" s="38"/>
      <c r="AP25" s="74">
        <f>+AM25+AN25-AO25</f>
        <v>2400</v>
      </c>
      <c r="AQ25" s="38"/>
      <c r="AR25" s="38"/>
      <c r="AS25" s="74">
        <f>+AP25+AQ25-AR25</f>
        <v>2400</v>
      </c>
      <c r="AT25" s="38"/>
      <c r="AU25" s="38"/>
      <c r="AV25" s="38">
        <f>+AS25+AT25-AU25</f>
        <v>2400</v>
      </c>
      <c r="AW25" s="38"/>
      <c r="AX25" s="38"/>
      <c r="AY25" s="38">
        <f>+AV25+AW25-AX25</f>
        <v>2400</v>
      </c>
      <c r="AZ25" s="38"/>
      <c r="BA25" s="38"/>
      <c r="BB25" s="38">
        <f>+AY25+AZ25-BA25</f>
        <v>2400</v>
      </c>
      <c r="BC25" s="74"/>
      <c r="BD25" s="74"/>
      <c r="BE25" s="38">
        <f t="shared" si="11"/>
        <v>2400</v>
      </c>
      <c r="BF25" s="38"/>
      <c r="BG25" s="38"/>
      <c r="BH25" s="38">
        <f t="shared" si="12"/>
        <v>2400</v>
      </c>
      <c r="BI25" s="38"/>
      <c r="BJ25" s="38"/>
      <c r="BK25" s="38">
        <f t="shared" si="13"/>
        <v>2400</v>
      </c>
      <c r="BL25" s="337" t="s">
        <v>45</v>
      </c>
      <c r="BM25" s="131"/>
      <c r="BN25" s="131"/>
      <c r="BO25" s="34"/>
      <c r="BP25" s="34"/>
      <c r="BQ25" s="34"/>
      <c r="BR25" s="34"/>
      <c r="BS25" s="34"/>
      <c r="BT25" s="34"/>
      <c r="BU25" s="34"/>
      <c r="BV25" s="34"/>
      <c r="BW25" s="95"/>
      <c r="BX25" s="95"/>
      <c r="BY25" s="95"/>
      <c r="BZ25" s="95"/>
      <c r="CA25" s="95"/>
      <c r="CB25" s="95"/>
      <c r="CC25" s="99"/>
      <c r="CD25" s="96"/>
      <c r="CE25" s="96"/>
      <c r="CF25" s="781">
        <f t="shared" si="14"/>
        <v>0</v>
      </c>
      <c r="CG25" s="421" t="s">
        <v>970</v>
      </c>
      <c r="CH25" s="422">
        <v>0.3</v>
      </c>
      <c r="CI25" s="423">
        <v>45950</v>
      </c>
      <c r="CJ25" s="524" t="s">
        <v>470</v>
      </c>
      <c r="CK25" s="62">
        <v>45733</v>
      </c>
      <c r="CL25" s="62">
        <v>45740</v>
      </c>
      <c r="CM25" s="9" t="s">
        <v>333</v>
      </c>
      <c r="CN25" s="9" t="s">
        <v>45</v>
      </c>
      <c r="CO25" s="9" t="s">
        <v>348</v>
      </c>
      <c r="CP25" s="9" t="s">
        <v>333</v>
      </c>
      <c r="CQ25" s="9"/>
      <c r="CR25" s="75" t="s">
        <v>443</v>
      </c>
    </row>
    <row r="26" spans="1:96" s="19" customFormat="1" ht="159.6" customHeight="1" x14ac:dyDescent="0.3">
      <c r="A26" s="4" t="s">
        <v>907</v>
      </c>
      <c r="B26" s="5" t="s">
        <v>90</v>
      </c>
      <c r="C26" s="5" t="s">
        <v>91</v>
      </c>
      <c r="D26" s="5" t="s">
        <v>92</v>
      </c>
      <c r="E26" s="22" t="s">
        <v>153</v>
      </c>
      <c r="F26" s="8" t="s">
        <v>154</v>
      </c>
      <c r="G26" s="32" t="s">
        <v>158</v>
      </c>
      <c r="H26" s="14" t="s">
        <v>44</v>
      </c>
      <c r="I26" s="14" t="s">
        <v>44</v>
      </c>
      <c r="J26" s="14" t="s">
        <v>156</v>
      </c>
      <c r="K26" s="22">
        <v>2025</v>
      </c>
      <c r="L26" s="26" t="s">
        <v>46</v>
      </c>
      <c r="M26" s="11" t="s">
        <v>47</v>
      </c>
      <c r="N26" s="11" t="s">
        <v>47</v>
      </c>
      <c r="O26" s="4">
        <v>46</v>
      </c>
      <c r="P26" s="4" t="s">
        <v>159</v>
      </c>
      <c r="Q26" s="27"/>
      <c r="R26" s="14" t="s">
        <v>48</v>
      </c>
      <c r="S26" s="15" t="s">
        <v>49</v>
      </c>
      <c r="T26" s="15" t="s">
        <v>50</v>
      </c>
      <c r="U26" s="7" t="s">
        <v>160</v>
      </c>
      <c r="V26" s="7" t="s">
        <v>161</v>
      </c>
      <c r="W26" s="7" t="s">
        <v>162</v>
      </c>
      <c r="X26" s="7" t="s">
        <v>163</v>
      </c>
      <c r="Y26" s="33" t="s">
        <v>55</v>
      </c>
      <c r="Z26" s="23">
        <v>26328.45</v>
      </c>
      <c r="AA26" s="34"/>
      <c r="AB26" s="55"/>
      <c r="AC26" s="55">
        <v>1</v>
      </c>
      <c r="AD26" s="18">
        <f>+AA26+AB26+AC26</f>
        <v>1</v>
      </c>
      <c r="AE26" s="38"/>
      <c r="AF26" s="38"/>
      <c r="AG26" s="38">
        <v>23153.391</v>
      </c>
      <c r="AH26" s="38">
        <f t="shared" si="1"/>
        <v>23153.391</v>
      </c>
      <c r="AI26" s="38"/>
      <c r="AJ26" s="38"/>
      <c r="AK26" s="359"/>
      <c r="AL26" s="359"/>
      <c r="AM26" s="74">
        <f>+Z26+AI26-AJ26+AK26-AL26</f>
        <v>26328.45</v>
      </c>
      <c r="AN26" s="38"/>
      <c r="AO26" s="38">
        <v>3175.0590000000002</v>
      </c>
      <c r="AP26" s="74">
        <f>+AM26+AN26-AO26</f>
        <v>23153.391</v>
      </c>
      <c r="AQ26" s="38"/>
      <c r="AR26" s="38"/>
      <c r="AS26" s="74">
        <f>+AP26+AQ26-AR26</f>
        <v>23153.391</v>
      </c>
      <c r="AT26" s="38"/>
      <c r="AU26" s="38"/>
      <c r="AV26" s="38">
        <f>+AS26+AT26-AU26</f>
        <v>23153.391</v>
      </c>
      <c r="AW26" s="38"/>
      <c r="AX26" s="38"/>
      <c r="AY26" s="38">
        <f>+AV26+AW26-AX26</f>
        <v>23153.391</v>
      </c>
      <c r="AZ26" s="38"/>
      <c r="BA26" s="38"/>
      <c r="BB26" s="38">
        <f>+AY26+AZ26-BA26</f>
        <v>23153.391</v>
      </c>
      <c r="BC26" s="74"/>
      <c r="BD26" s="74"/>
      <c r="BE26" s="38">
        <f t="shared" si="11"/>
        <v>23153.391</v>
      </c>
      <c r="BF26" s="38"/>
      <c r="BG26" s="38"/>
      <c r="BH26" s="38">
        <f t="shared" si="12"/>
        <v>23153.391</v>
      </c>
      <c r="BI26" s="38"/>
      <c r="BJ26" s="38"/>
      <c r="BK26" s="38">
        <f t="shared" si="13"/>
        <v>23153.391</v>
      </c>
      <c r="BL26" s="337" t="s">
        <v>56</v>
      </c>
      <c r="BM26" s="131"/>
      <c r="BN26" s="131"/>
      <c r="BO26" s="32" t="s">
        <v>1045</v>
      </c>
      <c r="BP26" s="67">
        <f>11595.06-11595.06+11595.06</f>
        <v>11595.06</v>
      </c>
      <c r="BQ26" s="67"/>
      <c r="BR26" s="34"/>
      <c r="BS26" s="34"/>
      <c r="BT26" s="34"/>
      <c r="BU26" s="34"/>
      <c r="BV26" s="34"/>
      <c r="BW26" s="32" t="s">
        <v>1046</v>
      </c>
      <c r="BX26" s="67">
        <f>11595.06-11595.06+11595.06</f>
        <v>11595.06</v>
      </c>
      <c r="BY26" s="95"/>
      <c r="BZ26" s="95"/>
      <c r="CA26" s="95"/>
      <c r="CB26" s="95"/>
      <c r="CC26" s="99"/>
      <c r="CD26" s="96"/>
      <c r="CE26" s="96"/>
      <c r="CF26" s="781">
        <f t="shared" si="14"/>
        <v>0</v>
      </c>
      <c r="CG26" s="421" t="s">
        <v>970</v>
      </c>
      <c r="CH26" s="422">
        <v>0.3</v>
      </c>
      <c r="CI26" s="423">
        <v>45947</v>
      </c>
      <c r="CJ26" s="524" t="s">
        <v>470</v>
      </c>
      <c r="CK26" s="62">
        <v>45719</v>
      </c>
      <c r="CL26" s="62">
        <v>45729</v>
      </c>
      <c r="CM26" s="9" t="s">
        <v>333</v>
      </c>
      <c r="CN26" s="9" t="s">
        <v>349</v>
      </c>
      <c r="CO26" s="9" t="s">
        <v>352</v>
      </c>
      <c r="CP26" s="9" t="s">
        <v>333</v>
      </c>
      <c r="CQ26" s="9"/>
      <c r="CR26" s="9"/>
    </row>
    <row r="27" spans="1:96" s="19" customFormat="1" ht="94.2" customHeight="1" x14ac:dyDescent="0.3">
      <c r="A27" s="4" t="s">
        <v>907</v>
      </c>
      <c r="B27" s="5" t="s">
        <v>90</v>
      </c>
      <c r="C27" s="8" t="s">
        <v>91</v>
      </c>
      <c r="D27" s="5" t="s">
        <v>92</v>
      </c>
      <c r="E27" s="331" t="s">
        <v>136</v>
      </c>
      <c r="F27" s="6" t="s">
        <v>137</v>
      </c>
      <c r="G27" s="409" t="s">
        <v>139</v>
      </c>
      <c r="H27" s="14" t="s">
        <v>132</v>
      </c>
      <c r="I27" s="14" t="s">
        <v>132</v>
      </c>
      <c r="J27" s="32" t="s">
        <v>96</v>
      </c>
      <c r="K27" s="10">
        <v>2025</v>
      </c>
      <c r="L27" s="11" t="s">
        <v>46</v>
      </c>
      <c r="M27" s="11" t="s">
        <v>47</v>
      </c>
      <c r="N27" s="11" t="s">
        <v>47</v>
      </c>
      <c r="O27" s="4" t="s">
        <v>45</v>
      </c>
      <c r="P27" s="4" t="s">
        <v>45</v>
      </c>
      <c r="Q27" s="13"/>
      <c r="R27" s="14" t="s">
        <v>48</v>
      </c>
      <c r="S27" s="15" t="s">
        <v>49</v>
      </c>
      <c r="T27" s="15" t="s">
        <v>50</v>
      </c>
      <c r="U27" s="9" t="s">
        <v>51</v>
      </c>
      <c r="V27" s="9" t="s">
        <v>52</v>
      </c>
      <c r="W27" s="9" t="s">
        <v>53</v>
      </c>
      <c r="X27" s="9" t="s">
        <v>54</v>
      </c>
      <c r="Y27" s="16" t="s">
        <v>55</v>
      </c>
      <c r="Z27" s="21">
        <v>100</v>
      </c>
      <c r="AA27" s="54">
        <f>100%/3</f>
        <v>0.33333333333333331</v>
      </c>
      <c r="AB27" s="54">
        <v>0.33333333333333331</v>
      </c>
      <c r="AC27" s="54">
        <v>0.33333333333333331</v>
      </c>
      <c r="AD27" s="18">
        <f t="shared" si="0"/>
        <v>1</v>
      </c>
      <c r="AE27" s="38">
        <v>16.666666666666668</v>
      </c>
      <c r="AF27" s="38">
        <v>16.666666666666668</v>
      </c>
      <c r="AG27" s="38">
        <v>16.666666666666668</v>
      </c>
      <c r="AH27" s="38">
        <f t="shared" si="1"/>
        <v>50</v>
      </c>
      <c r="AI27" s="38"/>
      <c r="AJ27" s="38"/>
      <c r="AK27" s="359"/>
      <c r="AL27" s="359"/>
      <c r="AM27" s="74">
        <f t="shared" si="2"/>
        <v>100</v>
      </c>
      <c r="AN27" s="38"/>
      <c r="AO27" s="38"/>
      <c r="AP27" s="74">
        <f t="shared" si="3"/>
        <v>100</v>
      </c>
      <c r="AQ27" s="38"/>
      <c r="AR27" s="38"/>
      <c r="AS27" s="74">
        <f t="shared" si="7"/>
        <v>100</v>
      </c>
      <c r="AT27" s="38"/>
      <c r="AU27" s="38"/>
      <c r="AV27" s="38">
        <f t="shared" si="8"/>
        <v>100</v>
      </c>
      <c r="AW27" s="38"/>
      <c r="AX27" s="38"/>
      <c r="AY27" s="38">
        <f t="shared" si="9"/>
        <v>100</v>
      </c>
      <c r="AZ27" s="38"/>
      <c r="BA27" s="38"/>
      <c r="BB27" s="38">
        <v>50</v>
      </c>
      <c r="BC27" s="74"/>
      <c r="BD27" s="74"/>
      <c r="BE27" s="38">
        <f t="shared" si="11"/>
        <v>50</v>
      </c>
      <c r="BF27" s="38"/>
      <c r="BG27" s="38"/>
      <c r="BH27" s="38">
        <f t="shared" si="12"/>
        <v>50</v>
      </c>
      <c r="BI27" s="38"/>
      <c r="BJ27" s="38"/>
      <c r="BK27" s="38">
        <f t="shared" si="13"/>
        <v>50</v>
      </c>
      <c r="BL27" s="337" t="s">
        <v>56</v>
      </c>
      <c r="BM27" s="131"/>
      <c r="BN27" s="131"/>
      <c r="BO27" s="32" t="s">
        <v>532</v>
      </c>
      <c r="BP27" s="34">
        <f>8.13+8.06+8.19</f>
        <v>24.380000000000003</v>
      </c>
      <c r="BQ27" s="34"/>
      <c r="BR27" s="34"/>
      <c r="BS27" s="34"/>
      <c r="BT27" s="34"/>
      <c r="BU27" s="34"/>
      <c r="BV27" s="34"/>
      <c r="BW27" s="34" t="s">
        <v>533</v>
      </c>
      <c r="BX27" s="34">
        <v>24.38</v>
      </c>
      <c r="BY27" s="95"/>
      <c r="BZ27" s="95"/>
      <c r="CA27" s="95"/>
      <c r="CB27" s="95"/>
      <c r="CC27" s="10" t="s">
        <v>534</v>
      </c>
      <c r="CD27" s="67">
        <v>24.38</v>
      </c>
      <c r="CE27" s="67">
        <v>24.38</v>
      </c>
      <c r="CF27" s="781">
        <f t="shared" si="14"/>
        <v>0</v>
      </c>
      <c r="CG27" s="133" t="s">
        <v>45</v>
      </c>
      <c r="CH27" s="133" t="s">
        <v>45</v>
      </c>
      <c r="CI27" s="133" t="s">
        <v>45</v>
      </c>
      <c r="CJ27" s="133"/>
      <c r="CK27" s="10" t="s">
        <v>45</v>
      </c>
      <c r="CL27" s="10" t="s">
        <v>45</v>
      </c>
      <c r="CM27" s="9" t="s">
        <v>45</v>
      </c>
      <c r="CN27" s="9" t="s">
        <v>45</v>
      </c>
      <c r="CO27" s="9" t="s">
        <v>45</v>
      </c>
      <c r="CP27" s="9" t="s">
        <v>45</v>
      </c>
      <c r="CQ27" s="9" t="s">
        <v>45</v>
      </c>
      <c r="CR27" s="9" t="s">
        <v>45</v>
      </c>
    </row>
    <row r="28" spans="1:96" s="19" customFormat="1" ht="99" customHeight="1" x14ac:dyDescent="0.3">
      <c r="A28" s="4" t="s">
        <v>907</v>
      </c>
      <c r="B28" s="5" t="s">
        <v>90</v>
      </c>
      <c r="C28" s="8" t="s">
        <v>91</v>
      </c>
      <c r="D28" s="5" t="s">
        <v>92</v>
      </c>
      <c r="E28" s="331" t="s">
        <v>140</v>
      </c>
      <c r="F28" s="6" t="s">
        <v>141</v>
      </c>
      <c r="G28" s="409" t="s">
        <v>139</v>
      </c>
      <c r="H28" s="14" t="s">
        <v>132</v>
      </c>
      <c r="I28" s="14" t="s">
        <v>132</v>
      </c>
      <c r="J28" s="32" t="s">
        <v>96</v>
      </c>
      <c r="K28" s="10">
        <v>2025</v>
      </c>
      <c r="L28" s="11" t="s">
        <v>46</v>
      </c>
      <c r="M28" s="11" t="s">
        <v>47</v>
      </c>
      <c r="N28" s="11" t="s">
        <v>47</v>
      </c>
      <c r="O28" s="4" t="s">
        <v>45</v>
      </c>
      <c r="P28" s="4" t="s">
        <v>45</v>
      </c>
      <c r="Q28" s="13"/>
      <c r="R28" s="14" t="s">
        <v>48</v>
      </c>
      <c r="S28" s="15" t="s">
        <v>49</v>
      </c>
      <c r="T28" s="15" t="s">
        <v>50</v>
      </c>
      <c r="U28" s="9" t="s">
        <v>51</v>
      </c>
      <c r="V28" s="9" t="s">
        <v>52</v>
      </c>
      <c r="W28" s="9" t="s">
        <v>53</v>
      </c>
      <c r="X28" s="9" t="s">
        <v>54</v>
      </c>
      <c r="Y28" s="16" t="s">
        <v>55</v>
      </c>
      <c r="Z28" s="21">
        <v>100</v>
      </c>
      <c r="AA28" s="18"/>
      <c r="AB28" s="18"/>
      <c r="AC28" s="54">
        <v>1</v>
      </c>
      <c r="AD28" s="18">
        <f t="shared" si="0"/>
        <v>1</v>
      </c>
      <c r="AE28" s="38"/>
      <c r="AF28" s="38"/>
      <c r="AG28" s="38">
        <v>30</v>
      </c>
      <c r="AH28" s="38">
        <f t="shared" si="1"/>
        <v>30</v>
      </c>
      <c r="AI28" s="38"/>
      <c r="AJ28" s="38"/>
      <c r="AK28" s="359"/>
      <c r="AL28" s="359"/>
      <c r="AM28" s="74">
        <f t="shared" si="2"/>
        <v>100</v>
      </c>
      <c r="AN28" s="38"/>
      <c r="AO28" s="38"/>
      <c r="AP28" s="74">
        <f t="shared" si="3"/>
        <v>100</v>
      </c>
      <c r="AQ28" s="38"/>
      <c r="AR28" s="38"/>
      <c r="AS28" s="74">
        <f t="shared" si="7"/>
        <v>100</v>
      </c>
      <c r="AT28" s="38"/>
      <c r="AU28" s="38"/>
      <c r="AV28" s="38">
        <f t="shared" si="8"/>
        <v>100</v>
      </c>
      <c r="AW28" s="38"/>
      <c r="AX28" s="38"/>
      <c r="AY28" s="38">
        <f t="shared" si="9"/>
        <v>100</v>
      </c>
      <c r="AZ28" s="38"/>
      <c r="BA28" s="38">
        <v>20</v>
      </c>
      <c r="BB28" s="38">
        <v>30</v>
      </c>
      <c r="BC28" s="74"/>
      <c r="BD28" s="74"/>
      <c r="BE28" s="38">
        <f t="shared" si="11"/>
        <v>30</v>
      </c>
      <c r="BF28" s="38"/>
      <c r="BG28" s="38"/>
      <c r="BH28" s="38">
        <f t="shared" si="12"/>
        <v>30</v>
      </c>
      <c r="BI28" s="38"/>
      <c r="BJ28" s="38"/>
      <c r="BK28" s="38">
        <f t="shared" si="13"/>
        <v>30</v>
      </c>
      <c r="BL28" s="337" t="s">
        <v>56</v>
      </c>
      <c r="BM28" s="131"/>
      <c r="BN28" s="131"/>
      <c r="BO28" s="34"/>
      <c r="BP28" s="34"/>
      <c r="BQ28" s="34"/>
      <c r="BR28" s="34"/>
      <c r="BS28" s="34"/>
      <c r="BT28" s="34"/>
      <c r="BU28" s="34"/>
      <c r="BV28" s="34"/>
      <c r="BW28" s="95"/>
      <c r="BX28" s="95"/>
      <c r="BY28" s="95"/>
      <c r="BZ28" s="95"/>
      <c r="CA28" s="95"/>
      <c r="CB28" s="95"/>
      <c r="CC28" s="99"/>
      <c r="CD28" s="96"/>
      <c r="CE28" s="96"/>
      <c r="CF28" s="781">
        <f t="shared" si="14"/>
        <v>0</v>
      </c>
      <c r="CG28" s="133" t="s">
        <v>45</v>
      </c>
      <c r="CH28" s="133" t="s">
        <v>45</v>
      </c>
      <c r="CI28" s="133" t="s">
        <v>45</v>
      </c>
      <c r="CJ28" s="133"/>
      <c r="CK28" s="10" t="s">
        <v>45</v>
      </c>
      <c r="CL28" s="10" t="s">
        <v>45</v>
      </c>
      <c r="CM28" s="9" t="s">
        <v>45</v>
      </c>
      <c r="CN28" s="9" t="s">
        <v>45</v>
      </c>
      <c r="CO28" s="9" t="s">
        <v>45</v>
      </c>
      <c r="CP28" s="9" t="s">
        <v>45</v>
      </c>
      <c r="CQ28" s="9" t="s">
        <v>45</v>
      </c>
      <c r="CR28" s="9" t="s">
        <v>45</v>
      </c>
    </row>
    <row r="29" spans="1:96" s="30" customFormat="1" ht="61.2" customHeight="1" x14ac:dyDescent="0.3">
      <c r="A29" s="4" t="s">
        <v>907</v>
      </c>
      <c r="B29" s="5" t="s">
        <v>90</v>
      </c>
      <c r="C29" s="8" t="s">
        <v>91</v>
      </c>
      <c r="D29" s="5" t="s">
        <v>92</v>
      </c>
      <c r="E29" s="8" t="s">
        <v>142</v>
      </c>
      <c r="F29" s="6" t="s">
        <v>143</v>
      </c>
      <c r="G29" s="409" t="s">
        <v>139</v>
      </c>
      <c r="H29" s="14" t="s">
        <v>132</v>
      </c>
      <c r="I29" s="14" t="s">
        <v>132</v>
      </c>
      <c r="J29" s="32" t="s">
        <v>96</v>
      </c>
      <c r="K29" s="10">
        <v>2025</v>
      </c>
      <c r="L29" s="26" t="s">
        <v>46</v>
      </c>
      <c r="M29" s="11" t="s">
        <v>47</v>
      </c>
      <c r="N29" s="11" t="s">
        <v>47</v>
      </c>
      <c r="O29" s="4" t="s">
        <v>45</v>
      </c>
      <c r="P29" s="4" t="s">
        <v>45</v>
      </c>
      <c r="Q29" s="27"/>
      <c r="R29" s="14" t="s">
        <v>48</v>
      </c>
      <c r="S29" s="15" t="s">
        <v>49</v>
      </c>
      <c r="T29" s="15" t="s">
        <v>50</v>
      </c>
      <c r="U29" s="9" t="s">
        <v>51</v>
      </c>
      <c r="V29" s="9" t="s">
        <v>52</v>
      </c>
      <c r="W29" s="9" t="s">
        <v>53</v>
      </c>
      <c r="X29" s="9" t="s">
        <v>54</v>
      </c>
      <c r="Y29" s="16" t="s">
        <v>55</v>
      </c>
      <c r="Z29" s="31">
        <v>100</v>
      </c>
      <c r="AA29" s="29"/>
      <c r="AB29" s="57">
        <v>1</v>
      </c>
      <c r="AC29" s="29"/>
      <c r="AD29" s="29">
        <f t="shared" si="0"/>
        <v>1</v>
      </c>
      <c r="AE29" s="68"/>
      <c r="AF29" s="68">
        <v>50</v>
      </c>
      <c r="AG29" s="68"/>
      <c r="AH29" s="38">
        <f t="shared" si="1"/>
        <v>50</v>
      </c>
      <c r="AI29" s="68"/>
      <c r="AJ29" s="68"/>
      <c r="AK29" s="360"/>
      <c r="AL29" s="360"/>
      <c r="AM29" s="74">
        <f t="shared" si="2"/>
        <v>100</v>
      </c>
      <c r="AN29" s="68"/>
      <c r="AO29" s="68"/>
      <c r="AP29" s="74">
        <f t="shared" si="3"/>
        <v>100</v>
      </c>
      <c r="AQ29" s="68"/>
      <c r="AR29" s="68"/>
      <c r="AS29" s="74">
        <f t="shared" si="7"/>
        <v>100</v>
      </c>
      <c r="AT29" s="38"/>
      <c r="AU29" s="38"/>
      <c r="AV29" s="38">
        <f t="shared" si="8"/>
        <v>100</v>
      </c>
      <c r="AW29" s="38"/>
      <c r="AX29" s="38"/>
      <c r="AY29" s="38">
        <f t="shared" si="9"/>
        <v>100</v>
      </c>
      <c r="AZ29" s="38"/>
      <c r="BA29" s="38"/>
      <c r="BB29" s="38">
        <v>50</v>
      </c>
      <c r="BC29" s="74"/>
      <c r="BD29" s="74"/>
      <c r="BE29" s="38">
        <f t="shared" si="11"/>
        <v>50</v>
      </c>
      <c r="BF29" s="38"/>
      <c r="BG29" s="38"/>
      <c r="BH29" s="38">
        <f t="shared" si="12"/>
        <v>50</v>
      </c>
      <c r="BI29" s="38"/>
      <c r="BJ29" s="38"/>
      <c r="BK29" s="38">
        <f t="shared" si="13"/>
        <v>50</v>
      </c>
      <c r="BL29" s="365" t="s">
        <v>56</v>
      </c>
      <c r="BM29" s="334"/>
      <c r="BN29" s="334"/>
      <c r="BO29" s="32"/>
      <c r="BP29" s="108"/>
      <c r="BQ29" s="108"/>
      <c r="BR29" s="108"/>
      <c r="BS29" s="108"/>
      <c r="BT29" s="108"/>
      <c r="BU29" s="108"/>
      <c r="BV29" s="108"/>
      <c r="BW29" s="108"/>
      <c r="BX29" s="108"/>
      <c r="BY29" s="98"/>
      <c r="BZ29" s="98"/>
      <c r="CA29" s="98"/>
      <c r="CB29" s="98"/>
      <c r="CC29" s="97"/>
      <c r="CD29" s="101"/>
      <c r="CE29" s="101"/>
      <c r="CF29" s="781">
        <f t="shared" si="14"/>
        <v>0</v>
      </c>
      <c r="CG29" s="133" t="s">
        <v>45</v>
      </c>
      <c r="CH29" s="133" t="s">
        <v>45</v>
      </c>
      <c r="CI29" s="133" t="s">
        <v>45</v>
      </c>
      <c r="CJ29" s="133"/>
      <c r="CK29" s="10" t="s">
        <v>45</v>
      </c>
      <c r="CL29" s="10" t="s">
        <v>45</v>
      </c>
      <c r="CM29" s="9" t="s">
        <v>45</v>
      </c>
      <c r="CN29" s="9" t="s">
        <v>45</v>
      </c>
      <c r="CO29" s="9" t="s">
        <v>45</v>
      </c>
      <c r="CP29" s="9" t="s">
        <v>45</v>
      </c>
      <c r="CQ29" s="9" t="s">
        <v>45</v>
      </c>
      <c r="CR29" s="9" t="s">
        <v>45</v>
      </c>
    </row>
    <row r="30" spans="1:96" s="30" customFormat="1" ht="284.25" customHeight="1" x14ac:dyDescent="0.3">
      <c r="A30" s="4" t="s">
        <v>907</v>
      </c>
      <c r="B30" s="5" t="s">
        <v>90</v>
      </c>
      <c r="C30" s="8" t="s">
        <v>91</v>
      </c>
      <c r="D30" s="5" t="s">
        <v>92</v>
      </c>
      <c r="E30" s="8" t="s">
        <v>142</v>
      </c>
      <c r="F30" s="6" t="s">
        <v>143</v>
      </c>
      <c r="G30" s="326" t="s">
        <v>144</v>
      </c>
      <c r="H30" s="14" t="s">
        <v>132</v>
      </c>
      <c r="I30" s="14" t="s">
        <v>132</v>
      </c>
      <c r="J30" s="32" t="s">
        <v>96</v>
      </c>
      <c r="K30" s="10">
        <v>2025</v>
      </c>
      <c r="L30" s="26" t="s">
        <v>46</v>
      </c>
      <c r="M30" s="11" t="s">
        <v>47</v>
      </c>
      <c r="N30" s="11" t="s">
        <v>47</v>
      </c>
      <c r="O30" s="4" t="s">
        <v>45</v>
      </c>
      <c r="P30" s="4" t="s">
        <v>45</v>
      </c>
      <c r="Q30" s="27"/>
      <c r="R30" s="14" t="s">
        <v>48</v>
      </c>
      <c r="S30" s="15" t="s">
        <v>49</v>
      </c>
      <c r="T30" s="15" t="s">
        <v>50</v>
      </c>
      <c r="U30" s="9" t="s">
        <v>51</v>
      </c>
      <c r="V30" s="9" t="s">
        <v>52</v>
      </c>
      <c r="W30" s="9" t="s">
        <v>53</v>
      </c>
      <c r="X30" s="9" t="s">
        <v>54</v>
      </c>
      <c r="Y30" s="16" t="s">
        <v>55</v>
      </c>
      <c r="Z30" s="31">
        <v>5500</v>
      </c>
      <c r="AA30" s="54">
        <f>100%/3</f>
        <v>0.33333333333333331</v>
      </c>
      <c r="AB30" s="54">
        <v>0.33333333333333331</v>
      </c>
      <c r="AC30" s="54">
        <v>0.33333333333333331</v>
      </c>
      <c r="AD30" s="18">
        <f t="shared" si="0"/>
        <v>1</v>
      </c>
      <c r="AE30" s="38">
        <v>7066.5233333333335</v>
      </c>
      <c r="AF30" s="38">
        <v>7066.5233333333335</v>
      </c>
      <c r="AG30" s="38">
        <v>7066.5233333333335</v>
      </c>
      <c r="AH30" s="38">
        <f t="shared" si="1"/>
        <v>21199.57</v>
      </c>
      <c r="AI30" s="38"/>
      <c r="AJ30" s="38"/>
      <c r="AK30" s="359"/>
      <c r="AL30" s="359"/>
      <c r="AM30" s="74">
        <f t="shared" si="2"/>
        <v>5500</v>
      </c>
      <c r="AN30" s="38"/>
      <c r="AO30" s="38"/>
      <c r="AP30" s="74">
        <f t="shared" si="3"/>
        <v>5500</v>
      </c>
      <c r="AQ30" s="38"/>
      <c r="AR30" s="38"/>
      <c r="AS30" s="74">
        <f t="shared" si="7"/>
        <v>5500</v>
      </c>
      <c r="AT30" s="38">
        <v>15699.57</v>
      </c>
      <c r="AU30" s="38"/>
      <c r="AV30" s="38">
        <f t="shared" si="8"/>
        <v>21199.57</v>
      </c>
      <c r="AW30" s="38"/>
      <c r="AX30" s="38"/>
      <c r="AY30" s="38">
        <f t="shared" si="9"/>
        <v>21199.57</v>
      </c>
      <c r="AZ30" s="38"/>
      <c r="BA30" s="38"/>
      <c r="BB30" s="38">
        <f t="shared" si="10"/>
        <v>21199.57</v>
      </c>
      <c r="BC30" s="74"/>
      <c r="BD30" s="74"/>
      <c r="BE30" s="38">
        <f t="shared" si="11"/>
        <v>21199.57</v>
      </c>
      <c r="BF30" s="38"/>
      <c r="BG30" s="38"/>
      <c r="BH30" s="38">
        <f t="shared" si="12"/>
        <v>21199.57</v>
      </c>
      <c r="BI30" s="38"/>
      <c r="BJ30" s="38"/>
      <c r="BK30" s="38">
        <f t="shared" si="13"/>
        <v>21199.57</v>
      </c>
      <c r="BL30" s="365" t="s">
        <v>56</v>
      </c>
      <c r="BM30" s="334"/>
      <c r="BN30" s="334"/>
      <c r="BO30" s="32" t="s">
        <v>504</v>
      </c>
      <c r="BP30" s="72">
        <f>15699.57+5500</f>
        <v>21199.57</v>
      </c>
      <c r="BQ30" s="72"/>
      <c r="BR30" s="32"/>
      <c r="BS30" s="32"/>
      <c r="BT30" s="32"/>
      <c r="BU30" s="32"/>
      <c r="BV30" s="32"/>
      <c r="BW30" s="109" t="s">
        <v>489</v>
      </c>
      <c r="BX30" s="108">
        <f>15699.57+5500</f>
        <v>21199.57</v>
      </c>
      <c r="BY30" s="98"/>
      <c r="BZ30" s="98"/>
      <c r="CA30" s="98"/>
      <c r="CB30" s="98"/>
      <c r="CC30" s="9" t="s">
        <v>1090</v>
      </c>
      <c r="CD30" s="72">
        <f>1429.12+266.81+1783.76+1690.88+1772.78+1967.96+1570.05+1766.4+1891.05+1627.44+1559.84+1907.08+1766.27</f>
        <v>20999.439999999999</v>
      </c>
      <c r="CE30" s="72">
        <f>1429.12+266.81+1783.76+1690.88+1772.78+1967.96+1570.05+1766.4+1891.05+1627.44+1559.84+1907.08+1766.27</f>
        <v>20999.439999999999</v>
      </c>
      <c r="CF30" s="781">
        <f t="shared" si="14"/>
        <v>0</v>
      </c>
      <c r="CG30" s="133" t="s">
        <v>45</v>
      </c>
      <c r="CH30" s="133" t="s">
        <v>45</v>
      </c>
      <c r="CI30" s="133" t="s">
        <v>45</v>
      </c>
      <c r="CJ30" s="133"/>
      <c r="CK30" s="10" t="s">
        <v>45</v>
      </c>
      <c r="CL30" s="10" t="s">
        <v>45</v>
      </c>
      <c r="CM30" s="9" t="s">
        <v>45</v>
      </c>
      <c r="CN30" s="9" t="s">
        <v>45</v>
      </c>
      <c r="CO30" s="9" t="s">
        <v>45</v>
      </c>
      <c r="CP30" s="9" t="s">
        <v>45</v>
      </c>
      <c r="CQ30" s="9" t="s">
        <v>45</v>
      </c>
      <c r="CR30" s="9" t="s">
        <v>45</v>
      </c>
    </row>
    <row r="31" spans="1:96" s="30" customFormat="1" ht="153.6" customHeight="1" x14ac:dyDescent="0.3">
      <c r="A31" s="4" t="s">
        <v>907</v>
      </c>
      <c r="B31" s="5" t="s">
        <v>90</v>
      </c>
      <c r="C31" s="8" t="s">
        <v>91</v>
      </c>
      <c r="D31" s="5" t="s">
        <v>92</v>
      </c>
      <c r="E31" s="8" t="s">
        <v>145</v>
      </c>
      <c r="F31" s="6" t="s">
        <v>146</v>
      </c>
      <c r="G31" s="409" t="s">
        <v>146</v>
      </c>
      <c r="H31" s="14" t="s">
        <v>132</v>
      </c>
      <c r="I31" s="14" t="s">
        <v>132</v>
      </c>
      <c r="J31" s="32" t="s">
        <v>96</v>
      </c>
      <c r="K31" s="10">
        <v>2025</v>
      </c>
      <c r="L31" s="26" t="s">
        <v>46</v>
      </c>
      <c r="M31" s="11" t="s">
        <v>47</v>
      </c>
      <c r="N31" s="11" t="s">
        <v>47</v>
      </c>
      <c r="O31" s="4" t="s">
        <v>45</v>
      </c>
      <c r="P31" s="4" t="s">
        <v>45</v>
      </c>
      <c r="Q31" s="27"/>
      <c r="R31" s="14" t="s">
        <v>48</v>
      </c>
      <c r="S31" s="15" t="s">
        <v>49</v>
      </c>
      <c r="T31" s="15" t="s">
        <v>50</v>
      </c>
      <c r="U31" s="9" t="s">
        <v>51</v>
      </c>
      <c r="V31" s="9" t="s">
        <v>52</v>
      </c>
      <c r="W31" s="9" t="s">
        <v>53</v>
      </c>
      <c r="X31" s="9" t="s">
        <v>54</v>
      </c>
      <c r="Y31" s="16" t="s">
        <v>55</v>
      </c>
      <c r="Z31" s="31">
        <v>500</v>
      </c>
      <c r="AA31" s="54">
        <f>100%/3</f>
        <v>0.33333333333333331</v>
      </c>
      <c r="AB31" s="54">
        <v>0.33333333333333331</v>
      </c>
      <c r="AC31" s="54">
        <v>0.33333333333333331</v>
      </c>
      <c r="AD31" s="18">
        <f t="shared" si="0"/>
        <v>1</v>
      </c>
      <c r="AE31" s="38">
        <v>166.66666666666666</v>
      </c>
      <c r="AF31" s="38">
        <v>166.66666666666666</v>
      </c>
      <c r="AG31" s="38">
        <v>166.66666666666666</v>
      </c>
      <c r="AH31" s="38">
        <f t="shared" si="1"/>
        <v>500</v>
      </c>
      <c r="AI31" s="38"/>
      <c r="AJ31" s="38"/>
      <c r="AK31" s="359"/>
      <c r="AL31" s="359"/>
      <c r="AM31" s="74">
        <f t="shared" ref="AM31:AM68" si="21">+Z31+AI31-AJ31+AK31-AL31</f>
        <v>500</v>
      </c>
      <c r="AN31" s="38"/>
      <c r="AO31" s="38"/>
      <c r="AP31" s="74">
        <f t="shared" ref="AP31:AP68" si="22">+AM31+AN31-AO31</f>
        <v>500</v>
      </c>
      <c r="AQ31" s="38"/>
      <c r="AR31" s="38"/>
      <c r="AS31" s="74">
        <f t="shared" si="7"/>
        <v>500</v>
      </c>
      <c r="AT31" s="38"/>
      <c r="AU31" s="38"/>
      <c r="AV31" s="38">
        <f t="shared" si="8"/>
        <v>500</v>
      </c>
      <c r="AW31" s="38"/>
      <c r="AX31" s="38"/>
      <c r="AY31" s="38">
        <f t="shared" si="9"/>
        <v>500</v>
      </c>
      <c r="AZ31" s="38"/>
      <c r="BA31" s="38"/>
      <c r="BB31" s="38">
        <f t="shared" si="10"/>
        <v>500</v>
      </c>
      <c r="BC31" s="74"/>
      <c r="BD31" s="74"/>
      <c r="BE31" s="38">
        <f t="shared" si="11"/>
        <v>500</v>
      </c>
      <c r="BF31" s="38"/>
      <c r="BG31" s="38"/>
      <c r="BH31" s="38">
        <f t="shared" si="12"/>
        <v>500</v>
      </c>
      <c r="BI31" s="38"/>
      <c r="BJ31" s="38"/>
      <c r="BK31" s="38">
        <f t="shared" si="13"/>
        <v>500</v>
      </c>
      <c r="BL31" s="365" t="s">
        <v>56</v>
      </c>
      <c r="BM31" s="334"/>
      <c r="BN31" s="334"/>
      <c r="BO31" s="32" t="s">
        <v>438</v>
      </c>
      <c r="BP31" s="72">
        <v>500</v>
      </c>
      <c r="BQ31" s="72"/>
      <c r="BR31" s="32"/>
      <c r="BS31" s="32"/>
      <c r="BT31" s="32"/>
      <c r="BU31" s="32"/>
      <c r="BV31" s="32"/>
      <c r="BW31" s="109" t="s">
        <v>433</v>
      </c>
      <c r="BX31" s="108">
        <v>500</v>
      </c>
      <c r="BY31" s="98"/>
      <c r="BZ31" s="98"/>
      <c r="CA31" s="98"/>
      <c r="CB31" s="98"/>
      <c r="CC31" s="9" t="s">
        <v>1137</v>
      </c>
      <c r="CD31" s="72">
        <f>9.55+64.9+9.4+7.2+7.35+74.93+9.6+28.91+7.25+7.25+7.5+7.7+7.55+9.05+7.55</f>
        <v>265.69</v>
      </c>
      <c r="CE31" s="72">
        <f>9.55+64.9+9.4+7.2+7.35+74.93+9.6+28.91+7.25+7.25+7.5+7.7+7.55+9.05+7.55</f>
        <v>265.69</v>
      </c>
      <c r="CF31" s="781">
        <f t="shared" si="14"/>
        <v>0</v>
      </c>
      <c r="CG31" s="133" t="s">
        <v>45</v>
      </c>
      <c r="CH31" s="133" t="s">
        <v>45</v>
      </c>
      <c r="CI31" s="133" t="s">
        <v>45</v>
      </c>
      <c r="CJ31" s="133"/>
      <c r="CK31" s="10" t="s">
        <v>45</v>
      </c>
      <c r="CL31" s="10" t="s">
        <v>45</v>
      </c>
      <c r="CM31" s="9" t="s">
        <v>45</v>
      </c>
      <c r="CN31" s="9" t="s">
        <v>45</v>
      </c>
      <c r="CO31" s="9" t="s">
        <v>45</v>
      </c>
      <c r="CP31" s="9" t="s">
        <v>45</v>
      </c>
      <c r="CQ31" s="9" t="s">
        <v>45</v>
      </c>
      <c r="CR31" s="9" t="s">
        <v>45</v>
      </c>
    </row>
    <row r="32" spans="1:96" s="30" customFormat="1" ht="56.4" customHeight="1" x14ac:dyDescent="0.3">
      <c r="A32" s="4" t="s">
        <v>907</v>
      </c>
      <c r="B32" s="5" t="s">
        <v>90</v>
      </c>
      <c r="C32" s="8" t="s">
        <v>91</v>
      </c>
      <c r="D32" s="5" t="s">
        <v>92</v>
      </c>
      <c r="E32" s="8" t="s">
        <v>147</v>
      </c>
      <c r="F32" s="6" t="s">
        <v>148</v>
      </c>
      <c r="G32" s="326" t="s">
        <v>139</v>
      </c>
      <c r="H32" s="14" t="s">
        <v>132</v>
      </c>
      <c r="I32" s="14" t="s">
        <v>132</v>
      </c>
      <c r="J32" s="32" t="s">
        <v>96</v>
      </c>
      <c r="K32" s="10">
        <v>2025</v>
      </c>
      <c r="L32" s="26" t="s">
        <v>46</v>
      </c>
      <c r="M32" s="11" t="s">
        <v>47</v>
      </c>
      <c r="N32" s="11" t="s">
        <v>47</v>
      </c>
      <c r="O32" s="4" t="s">
        <v>45</v>
      </c>
      <c r="P32" s="4" t="s">
        <v>45</v>
      </c>
      <c r="Q32" s="27"/>
      <c r="R32" s="14" t="s">
        <v>48</v>
      </c>
      <c r="S32" s="15" t="s">
        <v>49</v>
      </c>
      <c r="T32" s="15" t="s">
        <v>50</v>
      </c>
      <c r="U32" s="9" t="s">
        <v>51</v>
      </c>
      <c r="V32" s="9" t="s">
        <v>52</v>
      </c>
      <c r="W32" s="9" t="s">
        <v>53</v>
      </c>
      <c r="X32" s="9" t="s">
        <v>54</v>
      </c>
      <c r="Y32" s="16" t="s">
        <v>55</v>
      </c>
      <c r="Z32" s="31">
        <v>100</v>
      </c>
      <c r="AA32" s="54">
        <f>100%/3</f>
        <v>0.33333333333333331</v>
      </c>
      <c r="AB32" s="54">
        <v>0.33333333333333331</v>
      </c>
      <c r="AC32" s="54">
        <v>0.33333333333333331</v>
      </c>
      <c r="AD32" s="18">
        <f t="shared" si="0"/>
        <v>1</v>
      </c>
      <c r="AE32" s="38">
        <v>16.666666666666668</v>
      </c>
      <c r="AF32" s="38">
        <v>16.666666666666668</v>
      </c>
      <c r="AG32" s="38">
        <v>16.666666666666668</v>
      </c>
      <c r="AH32" s="38">
        <f t="shared" si="1"/>
        <v>50</v>
      </c>
      <c r="AI32" s="38"/>
      <c r="AJ32" s="38"/>
      <c r="AK32" s="359"/>
      <c r="AL32" s="359"/>
      <c r="AM32" s="74">
        <f t="shared" si="21"/>
        <v>100</v>
      </c>
      <c r="AN32" s="38"/>
      <c r="AO32" s="38"/>
      <c r="AP32" s="74">
        <f t="shared" si="22"/>
        <v>100</v>
      </c>
      <c r="AQ32" s="38"/>
      <c r="AR32" s="38"/>
      <c r="AS32" s="74">
        <f t="shared" si="7"/>
        <v>100</v>
      </c>
      <c r="AT32" s="38"/>
      <c r="AU32" s="38"/>
      <c r="AV32" s="38">
        <f t="shared" si="8"/>
        <v>100</v>
      </c>
      <c r="AW32" s="38"/>
      <c r="AX32" s="38"/>
      <c r="AY32" s="38">
        <f t="shared" si="9"/>
        <v>100</v>
      </c>
      <c r="AZ32" s="38"/>
      <c r="BA32" s="38"/>
      <c r="BB32" s="38">
        <v>50</v>
      </c>
      <c r="BC32" s="74"/>
      <c r="BD32" s="74"/>
      <c r="BE32" s="38">
        <f t="shared" si="11"/>
        <v>50</v>
      </c>
      <c r="BF32" s="38"/>
      <c r="BG32" s="38"/>
      <c r="BH32" s="38">
        <f t="shared" si="12"/>
        <v>50</v>
      </c>
      <c r="BI32" s="38"/>
      <c r="BJ32" s="38"/>
      <c r="BK32" s="38">
        <f t="shared" si="13"/>
        <v>50</v>
      </c>
      <c r="BL32" s="365" t="s">
        <v>56</v>
      </c>
      <c r="BM32" s="334"/>
      <c r="BN32" s="334"/>
      <c r="BO32" s="32"/>
      <c r="BP32" s="72"/>
      <c r="BQ32" s="72"/>
      <c r="BR32" s="32"/>
      <c r="BS32" s="32"/>
      <c r="BT32" s="32"/>
      <c r="BU32" s="32"/>
      <c r="BV32" s="32"/>
      <c r="BW32" s="98"/>
      <c r="BX32" s="108"/>
      <c r="BY32" s="98"/>
      <c r="BZ32" s="98"/>
      <c r="CA32" s="98"/>
      <c r="CB32" s="98"/>
      <c r="CC32" s="97"/>
      <c r="CD32" s="101"/>
      <c r="CE32" s="101"/>
      <c r="CF32" s="781">
        <f t="shared" si="14"/>
        <v>0</v>
      </c>
      <c r="CG32" s="133" t="s">
        <v>45</v>
      </c>
      <c r="CH32" s="133" t="s">
        <v>45</v>
      </c>
      <c r="CI32" s="133" t="s">
        <v>45</v>
      </c>
      <c r="CJ32" s="133"/>
      <c r="CK32" s="10" t="s">
        <v>45</v>
      </c>
      <c r="CL32" s="10" t="s">
        <v>45</v>
      </c>
      <c r="CM32" s="9" t="s">
        <v>45</v>
      </c>
      <c r="CN32" s="9" t="s">
        <v>45</v>
      </c>
      <c r="CO32" s="9" t="s">
        <v>45</v>
      </c>
      <c r="CP32" s="9" t="s">
        <v>45</v>
      </c>
      <c r="CQ32" s="9" t="s">
        <v>45</v>
      </c>
      <c r="CR32" s="9" t="s">
        <v>45</v>
      </c>
    </row>
    <row r="33" spans="1:96" s="30" customFormat="1" ht="148.19999999999999" customHeight="1" x14ac:dyDescent="0.3">
      <c r="A33" s="4" t="s">
        <v>907</v>
      </c>
      <c r="B33" s="5" t="s">
        <v>90</v>
      </c>
      <c r="C33" s="8" t="s">
        <v>91</v>
      </c>
      <c r="D33" s="5" t="s">
        <v>92</v>
      </c>
      <c r="E33" s="8" t="s">
        <v>147</v>
      </c>
      <c r="F33" s="6" t="s">
        <v>148</v>
      </c>
      <c r="G33" s="326" t="s">
        <v>149</v>
      </c>
      <c r="H33" s="14" t="s">
        <v>132</v>
      </c>
      <c r="I33" s="14" t="s">
        <v>132</v>
      </c>
      <c r="J33" s="32" t="s">
        <v>96</v>
      </c>
      <c r="K33" s="10">
        <v>2025</v>
      </c>
      <c r="L33" s="26" t="s">
        <v>46</v>
      </c>
      <c r="M33" s="11" t="s">
        <v>47</v>
      </c>
      <c r="N33" s="11" t="s">
        <v>47</v>
      </c>
      <c r="O33" s="4" t="s">
        <v>45</v>
      </c>
      <c r="P33" s="4" t="s">
        <v>45</v>
      </c>
      <c r="Q33" s="27"/>
      <c r="R33" s="14" t="s">
        <v>48</v>
      </c>
      <c r="S33" s="15" t="s">
        <v>49</v>
      </c>
      <c r="T33" s="15" t="s">
        <v>50</v>
      </c>
      <c r="U33" s="9" t="s">
        <v>51</v>
      </c>
      <c r="V33" s="9" t="s">
        <v>52</v>
      </c>
      <c r="W33" s="9" t="s">
        <v>53</v>
      </c>
      <c r="X33" s="9" t="s">
        <v>54</v>
      </c>
      <c r="Y33" s="16" t="s">
        <v>55</v>
      </c>
      <c r="Z33" s="31">
        <v>1000</v>
      </c>
      <c r="AA33" s="54">
        <f>100%/3</f>
        <v>0.33333333333333331</v>
      </c>
      <c r="AB33" s="54">
        <v>0.33333333333333331</v>
      </c>
      <c r="AC33" s="54">
        <v>0.33333333333333331</v>
      </c>
      <c r="AD33" s="18">
        <f t="shared" si="0"/>
        <v>1</v>
      </c>
      <c r="AE33" s="38">
        <v>0</v>
      </c>
      <c r="AF33" s="38">
        <v>0</v>
      </c>
      <c r="AG33" s="38">
        <v>0</v>
      </c>
      <c r="AH33" s="38">
        <f t="shared" si="1"/>
        <v>0</v>
      </c>
      <c r="AI33" s="38"/>
      <c r="AJ33" s="38"/>
      <c r="AK33" s="359"/>
      <c r="AL33" s="359"/>
      <c r="AM33" s="74">
        <f t="shared" si="21"/>
        <v>1000</v>
      </c>
      <c r="AN33" s="38"/>
      <c r="AO33" s="38"/>
      <c r="AP33" s="74">
        <f t="shared" si="22"/>
        <v>1000</v>
      </c>
      <c r="AQ33" s="38"/>
      <c r="AR33" s="38"/>
      <c r="AS33" s="74">
        <f t="shared" si="7"/>
        <v>1000</v>
      </c>
      <c r="AT33" s="38"/>
      <c r="AU33" s="38"/>
      <c r="AV33" s="38">
        <f t="shared" si="8"/>
        <v>1000</v>
      </c>
      <c r="AW33" s="38"/>
      <c r="AX33" s="38"/>
      <c r="AY33" s="38">
        <f t="shared" si="9"/>
        <v>1000</v>
      </c>
      <c r="AZ33" s="38"/>
      <c r="BA33" s="38"/>
      <c r="BB33" s="38">
        <f t="shared" si="10"/>
        <v>1000</v>
      </c>
      <c r="BC33" s="74"/>
      <c r="BD33" s="74">
        <v>1000</v>
      </c>
      <c r="BE33" s="38">
        <f t="shared" si="11"/>
        <v>0</v>
      </c>
      <c r="BF33" s="38"/>
      <c r="BG33" s="38"/>
      <c r="BH33" s="38">
        <f t="shared" si="12"/>
        <v>0</v>
      </c>
      <c r="BI33" s="38"/>
      <c r="BJ33" s="38"/>
      <c r="BK33" s="38">
        <f t="shared" si="13"/>
        <v>0</v>
      </c>
      <c r="BL33" s="365" t="s">
        <v>56</v>
      </c>
      <c r="BM33" s="334"/>
      <c r="BN33" s="334"/>
      <c r="BO33" s="32"/>
      <c r="BP33" s="32"/>
      <c r="BQ33" s="32"/>
      <c r="BR33" s="32"/>
      <c r="BS33" s="32"/>
      <c r="BT33" s="32"/>
      <c r="BU33" s="32"/>
      <c r="BV33" s="32"/>
      <c r="BW33" s="98"/>
      <c r="BX33" s="98"/>
      <c r="BY33" s="98"/>
      <c r="BZ33" s="98"/>
      <c r="CA33" s="98"/>
      <c r="CB33" s="98"/>
      <c r="CC33" s="97"/>
      <c r="CD33" s="101"/>
      <c r="CE33" s="101"/>
      <c r="CF33" s="781">
        <f t="shared" si="14"/>
        <v>0</v>
      </c>
      <c r="CG33" s="133" t="s">
        <v>45</v>
      </c>
      <c r="CH33" s="133" t="s">
        <v>45</v>
      </c>
      <c r="CI33" s="133" t="s">
        <v>45</v>
      </c>
      <c r="CJ33" s="133"/>
      <c r="CK33" s="10" t="s">
        <v>45</v>
      </c>
      <c r="CL33" s="10" t="s">
        <v>45</v>
      </c>
      <c r="CM33" s="9" t="s">
        <v>45</v>
      </c>
      <c r="CN33" s="9" t="s">
        <v>45</v>
      </c>
      <c r="CO33" s="9" t="s">
        <v>45</v>
      </c>
      <c r="CP33" s="9" t="s">
        <v>45</v>
      </c>
      <c r="CQ33" s="9" t="s">
        <v>45</v>
      </c>
      <c r="CR33" s="9" t="s">
        <v>45</v>
      </c>
    </row>
    <row r="34" spans="1:96" s="30" customFormat="1" ht="121.2" customHeight="1" x14ac:dyDescent="0.3">
      <c r="A34" s="4" t="s">
        <v>907</v>
      </c>
      <c r="B34" s="5" t="s">
        <v>90</v>
      </c>
      <c r="C34" s="8" t="s">
        <v>91</v>
      </c>
      <c r="D34" s="5" t="s">
        <v>92</v>
      </c>
      <c r="E34" s="8" t="s">
        <v>150</v>
      </c>
      <c r="F34" s="6" t="s">
        <v>151</v>
      </c>
      <c r="G34" s="326" t="s">
        <v>152</v>
      </c>
      <c r="H34" s="14" t="s">
        <v>132</v>
      </c>
      <c r="I34" s="14" t="s">
        <v>132</v>
      </c>
      <c r="J34" s="32" t="s">
        <v>96</v>
      </c>
      <c r="K34" s="10">
        <v>2025</v>
      </c>
      <c r="L34" s="26" t="s">
        <v>46</v>
      </c>
      <c r="M34" s="11" t="s">
        <v>47</v>
      </c>
      <c r="N34" s="11" t="s">
        <v>47</v>
      </c>
      <c r="O34" s="4" t="s">
        <v>45</v>
      </c>
      <c r="P34" s="4" t="s">
        <v>45</v>
      </c>
      <c r="Q34" s="27"/>
      <c r="R34" s="14" t="s">
        <v>48</v>
      </c>
      <c r="S34" s="15" t="s">
        <v>49</v>
      </c>
      <c r="T34" s="15" t="s">
        <v>50</v>
      </c>
      <c r="U34" s="9" t="s">
        <v>51</v>
      </c>
      <c r="V34" s="9" t="s">
        <v>52</v>
      </c>
      <c r="W34" s="9" t="s">
        <v>53</v>
      </c>
      <c r="X34" s="9" t="s">
        <v>54</v>
      </c>
      <c r="Y34" s="16" t="s">
        <v>55</v>
      </c>
      <c r="Z34" s="31">
        <v>8000</v>
      </c>
      <c r="AA34" s="54">
        <f>100%/3</f>
        <v>0.33333333333333331</v>
      </c>
      <c r="AB34" s="54">
        <v>0.33333333333333331</v>
      </c>
      <c r="AC34" s="54">
        <v>0.33333333333333331</v>
      </c>
      <c r="AD34" s="18">
        <f t="shared" si="0"/>
        <v>1</v>
      </c>
      <c r="AE34" s="38">
        <v>2666.6666666666665</v>
      </c>
      <c r="AF34" s="38">
        <v>2666.6666666666665</v>
      </c>
      <c r="AG34" s="38">
        <v>2666.6666666666665</v>
      </c>
      <c r="AH34" s="38">
        <f t="shared" si="1"/>
        <v>8000</v>
      </c>
      <c r="AI34" s="38"/>
      <c r="AJ34" s="38"/>
      <c r="AK34" s="359"/>
      <c r="AL34" s="359"/>
      <c r="AM34" s="74">
        <f t="shared" si="21"/>
        <v>8000</v>
      </c>
      <c r="AN34" s="38"/>
      <c r="AO34" s="38"/>
      <c r="AP34" s="74">
        <f t="shared" si="22"/>
        <v>8000</v>
      </c>
      <c r="AQ34" s="38"/>
      <c r="AR34" s="38"/>
      <c r="AS34" s="74">
        <f t="shared" si="7"/>
        <v>8000</v>
      </c>
      <c r="AT34" s="38"/>
      <c r="AU34" s="38"/>
      <c r="AV34" s="38">
        <f t="shared" si="8"/>
        <v>8000</v>
      </c>
      <c r="AW34" s="38"/>
      <c r="AX34" s="38"/>
      <c r="AY34" s="38">
        <f t="shared" si="9"/>
        <v>8000</v>
      </c>
      <c r="AZ34" s="38"/>
      <c r="BA34" s="38"/>
      <c r="BB34" s="38">
        <f t="shared" si="10"/>
        <v>8000</v>
      </c>
      <c r="BC34" s="74"/>
      <c r="BD34" s="74"/>
      <c r="BE34" s="38">
        <f t="shared" si="11"/>
        <v>8000</v>
      </c>
      <c r="BF34" s="38"/>
      <c r="BG34" s="38"/>
      <c r="BH34" s="38">
        <f t="shared" si="12"/>
        <v>8000</v>
      </c>
      <c r="BI34" s="38"/>
      <c r="BJ34" s="38"/>
      <c r="BK34" s="38">
        <f t="shared" si="13"/>
        <v>8000</v>
      </c>
      <c r="BL34" s="365" t="s">
        <v>56</v>
      </c>
      <c r="BM34" s="334"/>
      <c r="BN34" s="334"/>
      <c r="BO34" s="32" t="s">
        <v>436</v>
      </c>
      <c r="BP34" s="72">
        <v>8000</v>
      </c>
      <c r="BQ34" s="72"/>
      <c r="BR34" s="32"/>
      <c r="BS34" s="32"/>
      <c r="BT34" s="32"/>
      <c r="BU34" s="32"/>
      <c r="BV34" s="32"/>
      <c r="BW34" s="106" t="s">
        <v>432</v>
      </c>
      <c r="BX34" s="108">
        <v>8000</v>
      </c>
      <c r="BY34" s="98"/>
      <c r="BZ34" s="98"/>
      <c r="CA34" s="98"/>
      <c r="CB34" s="98"/>
      <c r="CC34" s="9" t="s">
        <v>1138</v>
      </c>
      <c r="CD34" s="72">
        <f>1431.84+477.28+477.28+430.49+430.49+860.98+430.49</f>
        <v>4538.8499999999985</v>
      </c>
      <c r="CE34" s="72">
        <f>1431.84+477.28+477.28+430.49+430.49+860.98+430.49</f>
        <v>4538.8499999999985</v>
      </c>
      <c r="CF34" s="781">
        <f t="shared" si="14"/>
        <v>0</v>
      </c>
      <c r="CG34" s="133" t="s">
        <v>45</v>
      </c>
      <c r="CH34" s="133" t="s">
        <v>45</v>
      </c>
      <c r="CI34" s="133" t="s">
        <v>45</v>
      </c>
      <c r="CJ34" s="133"/>
      <c r="CK34" s="10" t="s">
        <v>45</v>
      </c>
      <c r="CL34" s="10" t="s">
        <v>45</v>
      </c>
      <c r="CM34" s="9" t="s">
        <v>45</v>
      </c>
      <c r="CN34" s="9" t="s">
        <v>45</v>
      </c>
      <c r="CO34" s="9" t="s">
        <v>45</v>
      </c>
      <c r="CP34" s="9" t="s">
        <v>45</v>
      </c>
      <c r="CQ34" s="9" t="s">
        <v>45</v>
      </c>
      <c r="CR34" s="9" t="s">
        <v>45</v>
      </c>
    </row>
    <row r="35" spans="1:96" s="30" customFormat="1" ht="252.45" customHeight="1" x14ac:dyDescent="0.3">
      <c r="A35" s="4" t="s">
        <v>907</v>
      </c>
      <c r="B35" s="5" t="s">
        <v>90</v>
      </c>
      <c r="C35" s="8" t="s">
        <v>91</v>
      </c>
      <c r="D35" s="5" t="s">
        <v>92</v>
      </c>
      <c r="E35" s="8" t="s">
        <v>169</v>
      </c>
      <c r="F35" s="6" t="s">
        <v>481</v>
      </c>
      <c r="G35" s="409" t="s">
        <v>482</v>
      </c>
      <c r="H35" s="14" t="s">
        <v>132</v>
      </c>
      <c r="I35" s="14" t="s">
        <v>132</v>
      </c>
      <c r="J35" s="32" t="s">
        <v>156</v>
      </c>
      <c r="K35" s="10">
        <v>2025</v>
      </c>
      <c r="L35" s="26" t="s">
        <v>46</v>
      </c>
      <c r="M35" s="11" t="s">
        <v>47</v>
      </c>
      <c r="N35" s="11" t="s">
        <v>47</v>
      </c>
      <c r="O35" s="4" t="s">
        <v>45</v>
      </c>
      <c r="P35" s="4" t="s">
        <v>45</v>
      </c>
      <c r="Q35" s="27"/>
      <c r="R35" s="14" t="s">
        <v>48</v>
      </c>
      <c r="S35" s="15" t="s">
        <v>49</v>
      </c>
      <c r="T35" s="15" t="s">
        <v>50</v>
      </c>
      <c r="U35" s="9" t="s">
        <v>51</v>
      </c>
      <c r="V35" s="9" t="s">
        <v>52</v>
      </c>
      <c r="W35" s="9" t="s">
        <v>53</v>
      </c>
      <c r="X35" s="9" t="s">
        <v>54</v>
      </c>
      <c r="Y35" s="16"/>
      <c r="Z35" s="31"/>
      <c r="AA35" s="55">
        <v>1</v>
      </c>
      <c r="AB35" s="55"/>
      <c r="AC35" s="55"/>
      <c r="AD35" s="18">
        <f t="shared" si="0"/>
        <v>1</v>
      </c>
      <c r="AE35" s="38"/>
      <c r="AF35" s="38"/>
      <c r="AG35" s="38">
        <v>0</v>
      </c>
      <c r="AH35" s="38">
        <f t="shared" si="1"/>
        <v>0</v>
      </c>
      <c r="AI35" s="38"/>
      <c r="AJ35" s="38"/>
      <c r="AK35" s="359"/>
      <c r="AL35" s="359"/>
      <c r="AM35" s="74"/>
      <c r="AN35" s="38"/>
      <c r="AO35" s="38"/>
      <c r="AP35" s="74"/>
      <c r="AQ35" s="38"/>
      <c r="AR35" s="38"/>
      <c r="AS35" s="74">
        <v>0</v>
      </c>
      <c r="AT35" s="38">
        <v>1100</v>
      </c>
      <c r="AU35" s="38"/>
      <c r="AV35" s="38">
        <f t="shared" si="8"/>
        <v>1100</v>
      </c>
      <c r="AW35" s="38"/>
      <c r="AX35" s="38"/>
      <c r="AY35" s="38">
        <f t="shared" si="9"/>
        <v>1100</v>
      </c>
      <c r="AZ35" s="38"/>
      <c r="BA35" s="38"/>
      <c r="BB35" s="38">
        <v>968.87</v>
      </c>
      <c r="BC35" s="74"/>
      <c r="BD35" s="74">
        <v>968.87</v>
      </c>
      <c r="BE35" s="38">
        <f t="shared" si="11"/>
        <v>0</v>
      </c>
      <c r="BF35" s="38"/>
      <c r="BG35" s="38"/>
      <c r="BH35" s="38">
        <f t="shared" si="12"/>
        <v>0</v>
      </c>
      <c r="BI35" s="38"/>
      <c r="BJ35" s="38"/>
      <c r="BK35" s="38">
        <f t="shared" si="13"/>
        <v>0</v>
      </c>
      <c r="BL35" s="365" t="s">
        <v>56</v>
      </c>
      <c r="BM35" s="334"/>
      <c r="BN35" s="334"/>
      <c r="BO35" s="32"/>
      <c r="BP35" s="72"/>
      <c r="BQ35" s="72"/>
      <c r="BR35" s="32"/>
      <c r="BS35" s="32"/>
      <c r="BT35" s="32"/>
      <c r="BU35" s="32"/>
      <c r="BV35" s="32"/>
      <c r="BW35" s="95"/>
      <c r="BX35" s="101"/>
      <c r="BY35" s="98"/>
      <c r="BZ35" s="98"/>
      <c r="CA35" s="98"/>
      <c r="CB35" s="98"/>
      <c r="CC35" s="99"/>
      <c r="CD35" s="101"/>
      <c r="CE35" s="101"/>
      <c r="CF35" s="781">
        <f t="shared" si="14"/>
        <v>0</v>
      </c>
      <c r="CG35" s="420" t="s">
        <v>971</v>
      </c>
      <c r="CH35" s="134"/>
      <c r="CI35" s="412"/>
      <c r="CJ35" s="412"/>
      <c r="CK35" s="10"/>
      <c r="CL35" s="10"/>
      <c r="CM35" s="9"/>
      <c r="CN35" s="9"/>
      <c r="CO35" s="9"/>
      <c r="CP35" s="9"/>
      <c r="CQ35" s="9"/>
      <c r="CR35" s="9"/>
    </row>
    <row r="36" spans="1:96" s="30" customFormat="1" ht="48.6" customHeight="1" x14ac:dyDescent="0.3">
      <c r="A36" s="4" t="s">
        <v>907</v>
      </c>
      <c r="B36" s="5" t="s">
        <v>90</v>
      </c>
      <c r="C36" s="8" t="s">
        <v>91</v>
      </c>
      <c r="D36" s="5" t="s">
        <v>92</v>
      </c>
      <c r="E36" s="8" t="s">
        <v>528</v>
      </c>
      <c r="F36" s="6" t="s">
        <v>529</v>
      </c>
      <c r="G36" s="326" t="s">
        <v>139</v>
      </c>
      <c r="H36" s="14" t="s">
        <v>132</v>
      </c>
      <c r="I36" s="14" t="s">
        <v>132</v>
      </c>
      <c r="J36" s="32" t="s">
        <v>96</v>
      </c>
      <c r="K36" s="10">
        <v>2025</v>
      </c>
      <c r="L36" s="26" t="s">
        <v>46</v>
      </c>
      <c r="M36" s="11" t="s">
        <v>47</v>
      </c>
      <c r="N36" s="11" t="s">
        <v>47</v>
      </c>
      <c r="O36" s="4" t="s">
        <v>45</v>
      </c>
      <c r="P36" s="4" t="s">
        <v>45</v>
      </c>
      <c r="Q36" s="27"/>
      <c r="R36" s="14" t="s">
        <v>48</v>
      </c>
      <c r="S36" s="15" t="s">
        <v>49</v>
      </c>
      <c r="T36" s="15" t="s">
        <v>50</v>
      </c>
      <c r="U36" s="9" t="s">
        <v>51</v>
      </c>
      <c r="V36" s="9" t="s">
        <v>52</v>
      </c>
      <c r="W36" s="9" t="s">
        <v>53</v>
      </c>
      <c r="X36" s="9" t="s">
        <v>54</v>
      </c>
      <c r="Y36" s="16" t="s">
        <v>55</v>
      </c>
      <c r="Z36" s="31">
        <v>100</v>
      </c>
      <c r="AA36" s="55"/>
      <c r="AB36" s="55"/>
      <c r="AC36" s="54">
        <v>1</v>
      </c>
      <c r="AD36" s="18">
        <f t="shared" ref="AD36:AD53" si="23">+AA36+AB36+AC36</f>
        <v>1</v>
      </c>
      <c r="AE36" s="38"/>
      <c r="AF36" s="38"/>
      <c r="AG36" s="38">
        <v>20</v>
      </c>
      <c r="AH36" s="38">
        <f t="shared" si="1"/>
        <v>20</v>
      </c>
      <c r="AI36" s="38"/>
      <c r="AJ36" s="38"/>
      <c r="AK36" s="359"/>
      <c r="AL36" s="359"/>
      <c r="AM36" s="74"/>
      <c r="AN36" s="38"/>
      <c r="AO36" s="38"/>
      <c r="AP36" s="74">
        <f t="shared" ref="AP36:AP53" si="24">+AM36+AN36-AO36</f>
        <v>0</v>
      </c>
      <c r="AQ36" s="38"/>
      <c r="AR36" s="38"/>
      <c r="AS36" s="74">
        <f t="shared" ref="AS36:AS53" si="25">+AP36+AQ36-AR36</f>
        <v>0</v>
      </c>
      <c r="AT36" s="38"/>
      <c r="AU36" s="38"/>
      <c r="AV36" s="38">
        <f t="shared" ref="AV36:AV53" si="26">+AS36+AT36-AU36</f>
        <v>0</v>
      </c>
      <c r="AW36" s="38"/>
      <c r="AX36" s="38"/>
      <c r="AY36" s="38">
        <f t="shared" si="9"/>
        <v>0</v>
      </c>
      <c r="AZ36" s="38">
        <v>20</v>
      </c>
      <c r="BA36" s="38"/>
      <c r="BB36" s="38">
        <f t="shared" si="10"/>
        <v>20</v>
      </c>
      <c r="BC36" s="74"/>
      <c r="BD36" s="74"/>
      <c r="BE36" s="38">
        <f t="shared" si="11"/>
        <v>20</v>
      </c>
      <c r="BF36" s="38"/>
      <c r="BG36" s="38"/>
      <c r="BH36" s="38">
        <f t="shared" si="12"/>
        <v>20</v>
      </c>
      <c r="BI36" s="38"/>
      <c r="BJ36" s="38"/>
      <c r="BK36" s="38">
        <f t="shared" si="13"/>
        <v>20</v>
      </c>
      <c r="BL36" s="365" t="s">
        <v>56</v>
      </c>
      <c r="BM36" s="334"/>
      <c r="BN36" s="334"/>
      <c r="BO36" s="32" t="s">
        <v>532</v>
      </c>
      <c r="BP36" s="32">
        <v>4.88</v>
      </c>
      <c r="BQ36" s="32"/>
      <c r="BR36" s="32"/>
      <c r="BS36" s="32"/>
      <c r="BT36" s="32"/>
      <c r="BU36" s="32"/>
      <c r="BV36" s="32"/>
      <c r="BW36" s="34" t="s">
        <v>533</v>
      </c>
      <c r="BX36" s="32">
        <v>4.88</v>
      </c>
      <c r="BY36" s="98"/>
      <c r="BZ36" s="98"/>
      <c r="CA36" s="98"/>
      <c r="CB36" s="98"/>
      <c r="CC36" s="10" t="s">
        <v>534</v>
      </c>
      <c r="CD36" s="72">
        <v>4.88</v>
      </c>
      <c r="CE36" s="72">
        <v>4.88</v>
      </c>
      <c r="CF36" s="781">
        <f t="shared" si="14"/>
        <v>0</v>
      </c>
      <c r="CG36" s="133" t="s">
        <v>45</v>
      </c>
      <c r="CH36" s="133" t="s">
        <v>45</v>
      </c>
      <c r="CI36" s="133" t="s">
        <v>45</v>
      </c>
      <c r="CJ36" s="133"/>
      <c r="CK36" s="10" t="s">
        <v>45</v>
      </c>
      <c r="CL36" s="10" t="s">
        <v>45</v>
      </c>
      <c r="CM36" s="9" t="s">
        <v>45</v>
      </c>
      <c r="CN36" s="9" t="s">
        <v>45</v>
      </c>
      <c r="CO36" s="9" t="s">
        <v>45</v>
      </c>
      <c r="CP36" s="9" t="s">
        <v>45</v>
      </c>
      <c r="CQ36" s="9" t="s">
        <v>45</v>
      </c>
      <c r="CR36" s="9" t="s">
        <v>45</v>
      </c>
    </row>
    <row r="37" spans="1:96" s="30" customFormat="1" ht="154.94999999999999" customHeight="1" x14ac:dyDescent="0.3">
      <c r="A37" s="4" t="s">
        <v>907</v>
      </c>
      <c r="B37" s="5" t="s">
        <v>90</v>
      </c>
      <c r="C37" s="8" t="s">
        <v>91</v>
      </c>
      <c r="D37" s="5" t="s">
        <v>92</v>
      </c>
      <c r="E37" s="8" t="s">
        <v>182</v>
      </c>
      <c r="F37" s="8" t="s">
        <v>549</v>
      </c>
      <c r="G37" s="409" t="s">
        <v>139</v>
      </c>
      <c r="H37" s="14" t="s">
        <v>132</v>
      </c>
      <c r="I37" s="14" t="s">
        <v>132</v>
      </c>
      <c r="J37" s="32" t="s">
        <v>96</v>
      </c>
      <c r="K37" s="10">
        <v>2025</v>
      </c>
      <c r="L37" s="26" t="s">
        <v>46</v>
      </c>
      <c r="M37" s="11" t="s">
        <v>47</v>
      </c>
      <c r="N37" s="11" t="s">
        <v>47</v>
      </c>
      <c r="O37" s="4" t="s">
        <v>45</v>
      </c>
      <c r="P37" s="4" t="s">
        <v>45</v>
      </c>
      <c r="Q37" s="27"/>
      <c r="R37" s="14" t="s">
        <v>48</v>
      </c>
      <c r="S37" s="15" t="s">
        <v>49</v>
      </c>
      <c r="T37" s="15" t="s">
        <v>50</v>
      </c>
      <c r="U37" s="9" t="s">
        <v>51</v>
      </c>
      <c r="V37" s="9" t="s">
        <v>52</v>
      </c>
      <c r="W37" s="9" t="s">
        <v>53</v>
      </c>
      <c r="X37" s="9" t="s">
        <v>54</v>
      </c>
      <c r="Y37" s="16" t="s">
        <v>55</v>
      </c>
      <c r="Z37" s="31">
        <v>100</v>
      </c>
      <c r="AA37" s="55"/>
      <c r="AB37" s="55"/>
      <c r="AC37" s="54">
        <v>1</v>
      </c>
      <c r="AD37" s="18">
        <f t="shared" ref="AD37:AD40" si="27">+AA37+AB37+AC37</f>
        <v>1</v>
      </c>
      <c r="AE37" s="38"/>
      <c r="AF37" s="38"/>
      <c r="AG37" s="38">
        <f>+BK37</f>
        <v>211.13</v>
      </c>
      <c r="AH37" s="38">
        <f t="shared" ref="AH37:AH40" si="28">+AE37+AF37+AG37</f>
        <v>211.13</v>
      </c>
      <c r="AI37" s="38"/>
      <c r="AJ37" s="38"/>
      <c r="AK37" s="359"/>
      <c r="AL37" s="359"/>
      <c r="AM37" s="74"/>
      <c r="AN37" s="38"/>
      <c r="AO37" s="38"/>
      <c r="AP37" s="74">
        <f t="shared" ref="AP37:AP40" si="29">+AM37+AN37-AO37</f>
        <v>0</v>
      </c>
      <c r="AQ37" s="38"/>
      <c r="AR37" s="38"/>
      <c r="AS37" s="74">
        <f t="shared" ref="AS37:AS40" si="30">+AP37+AQ37-AR37</f>
        <v>0</v>
      </c>
      <c r="AT37" s="38"/>
      <c r="AU37" s="38"/>
      <c r="AV37" s="38">
        <f t="shared" ref="AV37:AV40" si="31">+AS37+AT37-AU37</f>
        <v>0</v>
      </c>
      <c r="AW37" s="38"/>
      <c r="AX37" s="38"/>
      <c r="AY37" s="38">
        <f t="shared" ref="AY37:AY40" si="32">+AV37+AW37-AX37</f>
        <v>0</v>
      </c>
      <c r="AZ37" s="38">
        <v>20</v>
      </c>
      <c r="BA37" s="38"/>
      <c r="BB37" s="38">
        <v>111.13</v>
      </c>
      <c r="BC37" s="74"/>
      <c r="BD37" s="74"/>
      <c r="BE37" s="38">
        <f t="shared" si="11"/>
        <v>111.13</v>
      </c>
      <c r="BF37" s="38">
        <v>100</v>
      </c>
      <c r="BG37" s="38"/>
      <c r="BH37" s="38">
        <f t="shared" si="12"/>
        <v>211.13</v>
      </c>
      <c r="BI37" s="38"/>
      <c r="BJ37" s="38"/>
      <c r="BK37" s="38">
        <f t="shared" si="13"/>
        <v>211.13</v>
      </c>
      <c r="BL37" s="365" t="s">
        <v>56</v>
      </c>
      <c r="BM37" s="334"/>
      <c r="BN37" s="334"/>
      <c r="BO37" s="32" t="s">
        <v>1100</v>
      </c>
      <c r="BP37" s="72">
        <f>75+60</f>
        <v>135</v>
      </c>
      <c r="BQ37" s="72"/>
      <c r="BR37" s="32"/>
      <c r="BS37" s="32"/>
      <c r="BT37" s="32"/>
      <c r="BU37" s="32"/>
      <c r="BV37" s="32"/>
      <c r="BW37" s="32" t="s">
        <v>1101</v>
      </c>
      <c r="BX37" s="72">
        <f>75+60</f>
        <v>135</v>
      </c>
      <c r="BY37" s="98"/>
      <c r="BZ37" s="98"/>
      <c r="CA37" s="98"/>
      <c r="CB37" s="98"/>
      <c r="CC37" s="9" t="s">
        <v>1119</v>
      </c>
      <c r="CD37" s="72">
        <f>75+60</f>
        <v>135</v>
      </c>
      <c r="CE37" s="72">
        <f>75+60</f>
        <v>135</v>
      </c>
      <c r="CF37" s="781">
        <f t="shared" si="14"/>
        <v>0</v>
      </c>
      <c r="CG37" s="133" t="s">
        <v>45</v>
      </c>
      <c r="CH37" s="133" t="s">
        <v>45</v>
      </c>
      <c r="CI37" s="133" t="s">
        <v>45</v>
      </c>
      <c r="CJ37" s="133"/>
      <c r="CK37" s="10" t="s">
        <v>45</v>
      </c>
      <c r="CL37" s="10" t="s">
        <v>45</v>
      </c>
      <c r="CM37" s="9" t="s">
        <v>45</v>
      </c>
      <c r="CN37" s="9" t="s">
        <v>45</v>
      </c>
      <c r="CO37" s="9" t="s">
        <v>45</v>
      </c>
      <c r="CP37" s="9" t="s">
        <v>45</v>
      </c>
      <c r="CQ37" s="9" t="s">
        <v>45</v>
      </c>
      <c r="CR37" s="9" t="s">
        <v>45</v>
      </c>
    </row>
    <row r="38" spans="1:96" s="30" customFormat="1" ht="60.6" customHeight="1" x14ac:dyDescent="0.3">
      <c r="A38" s="4" t="s">
        <v>907</v>
      </c>
      <c r="B38" s="5" t="s">
        <v>90</v>
      </c>
      <c r="C38" s="8" t="s">
        <v>91</v>
      </c>
      <c r="D38" s="5" t="s">
        <v>92</v>
      </c>
      <c r="E38" s="8" t="s">
        <v>212</v>
      </c>
      <c r="F38" s="8" t="s">
        <v>409</v>
      </c>
      <c r="G38" s="326" t="s">
        <v>139</v>
      </c>
      <c r="H38" s="14" t="s">
        <v>132</v>
      </c>
      <c r="I38" s="14" t="s">
        <v>132</v>
      </c>
      <c r="J38" s="32" t="s">
        <v>96</v>
      </c>
      <c r="K38" s="10">
        <v>2025</v>
      </c>
      <c r="L38" s="26" t="s">
        <v>46</v>
      </c>
      <c r="M38" s="11" t="s">
        <v>47</v>
      </c>
      <c r="N38" s="11" t="s">
        <v>47</v>
      </c>
      <c r="O38" s="4" t="s">
        <v>45</v>
      </c>
      <c r="P38" s="4" t="s">
        <v>45</v>
      </c>
      <c r="Q38" s="27"/>
      <c r="R38" s="14" t="s">
        <v>48</v>
      </c>
      <c r="S38" s="15" t="s">
        <v>49</v>
      </c>
      <c r="T38" s="15" t="s">
        <v>50</v>
      </c>
      <c r="U38" s="9" t="s">
        <v>51</v>
      </c>
      <c r="V38" s="9" t="s">
        <v>52</v>
      </c>
      <c r="W38" s="9" t="s">
        <v>53</v>
      </c>
      <c r="X38" s="9" t="s">
        <v>54</v>
      </c>
      <c r="Y38" s="16" t="s">
        <v>55</v>
      </c>
      <c r="Z38" s="31">
        <v>100</v>
      </c>
      <c r="AA38" s="55"/>
      <c r="AB38" s="55"/>
      <c r="AC38" s="54">
        <v>1</v>
      </c>
      <c r="AD38" s="18">
        <f t="shared" si="27"/>
        <v>1</v>
      </c>
      <c r="AE38" s="38"/>
      <c r="AF38" s="38"/>
      <c r="AG38" s="38">
        <v>20</v>
      </c>
      <c r="AH38" s="38">
        <f t="shared" si="28"/>
        <v>20</v>
      </c>
      <c r="AI38" s="38"/>
      <c r="AJ38" s="38"/>
      <c r="AK38" s="359"/>
      <c r="AL38" s="359"/>
      <c r="AM38" s="74"/>
      <c r="AN38" s="38"/>
      <c r="AO38" s="38"/>
      <c r="AP38" s="74">
        <f t="shared" si="29"/>
        <v>0</v>
      </c>
      <c r="AQ38" s="38"/>
      <c r="AR38" s="38"/>
      <c r="AS38" s="74">
        <f t="shared" si="30"/>
        <v>0</v>
      </c>
      <c r="AT38" s="38"/>
      <c r="AU38" s="38"/>
      <c r="AV38" s="38">
        <f t="shared" si="31"/>
        <v>0</v>
      </c>
      <c r="AW38" s="38"/>
      <c r="AX38" s="38"/>
      <c r="AY38" s="38">
        <f t="shared" si="32"/>
        <v>0</v>
      </c>
      <c r="AZ38" s="38">
        <v>20</v>
      </c>
      <c r="BA38" s="38"/>
      <c r="BB38" s="38">
        <v>20</v>
      </c>
      <c r="BC38" s="74"/>
      <c r="BD38" s="74"/>
      <c r="BE38" s="38">
        <f t="shared" si="11"/>
        <v>20</v>
      </c>
      <c r="BF38" s="38"/>
      <c r="BG38" s="38"/>
      <c r="BH38" s="38">
        <f t="shared" si="12"/>
        <v>20</v>
      </c>
      <c r="BI38" s="38"/>
      <c r="BJ38" s="38"/>
      <c r="BK38" s="38">
        <f t="shared" si="13"/>
        <v>20</v>
      </c>
      <c r="BL38" s="365" t="s">
        <v>56</v>
      </c>
      <c r="BM38" s="334"/>
      <c r="BN38" s="334"/>
      <c r="BO38" s="32" t="s">
        <v>951</v>
      </c>
      <c r="BP38" s="72">
        <v>20</v>
      </c>
      <c r="BQ38" s="72"/>
      <c r="BR38" s="32"/>
      <c r="BS38" s="32"/>
      <c r="BT38" s="32"/>
      <c r="BU38" s="32"/>
      <c r="BV38" s="32"/>
      <c r="BW38" s="34" t="s">
        <v>952</v>
      </c>
      <c r="BX38" s="72">
        <v>20</v>
      </c>
      <c r="BY38" s="101"/>
      <c r="BZ38" s="101"/>
      <c r="CA38" s="101"/>
      <c r="CB38" s="101"/>
      <c r="CC38" s="10" t="s">
        <v>953</v>
      </c>
      <c r="CD38" s="72">
        <v>20</v>
      </c>
      <c r="CE38" s="72">
        <v>20</v>
      </c>
      <c r="CF38" s="781">
        <f t="shared" si="14"/>
        <v>0</v>
      </c>
      <c r="CG38" s="133" t="s">
        <v>45</v>
      </c>
      <c r="CH38" s="133" t="s">
        <v>45</v>
      </c>
      <c r="CI38" s="133" t="s">
        <v>45</v>
      </c>
      <c r="CJ38" s="133"/>
      <c r="CK38" s="10" t="s">
        <v>45</v>
      </c>
      <c r="CL38" s="10" t="s">
        <v>45</v>
      </c>
      <c r="CM38" s="9" t="s">
        <v>45</v>
      </c>
      <c r="CN38" s="9" t="s">
        <v>45</v>
      </c>
      <c r="CO38" s="9" t="s">
        <v>45</v>
      </c>
      <c r="CP38" s="9" t="s">
        <v>45</v>
      </c>
      <c r="CQ38" s="9" t="s">
        <v>45</v>
      </c>
      <c r="CR38" s="9" t="s">
        <v>45</v>
      </c>
    </row>
    <row r="39" spans="1:96" s="30" customFormat="1" ht="84.6" customHeight="1" x14ac:dyDescent="0.3">
      <c r="A39" s="4" t="s">
        <v>907</v>
      </c>
      <c r="B39" s="5" t="s">
        <v>90</v>
      </c>
      <c r="C39" s="8" t="s">
        <v>91</v>
      </c>
      <c r="D39" s="5" t="s">
        <v>92</v>
      </c>
      <c r="E39" s="8" t="s">
        <v>940</v>
      </c>
      <c r="F39" s="8" t="s">
        <v>941</v>
      </c>
      <c r="G39" s="326" t="s">
        <v>139</v>
      </c>
      <c r="H39" s="14" t="s">
        <v>132</v>
      </c>
      <c r="I39" s="14" t="s">
        <v>132</v>
      </c>
      <c r="J39" s="32" t="s">
        <v>96</v>
      </c>
      <c r="K39" s="10">
        <v>2025</v>
      </c>
      <c r="L39" s="26" t="s">
        <v>46</v>
      </c>
      <c r="M39" s="11" t="s">
        <v>47</v>
      </c>
      <c r="N39" s="11" t="s">
        <v>47</v>
      </c>
      <c r="O39" s="4" t="s">
        <v>45</v>
      </c>
      <c r="P39" s="4" t="s">
        <v>45</v>
      </c>
      <c r="Q39" s="27"/>
      <c r="R39" s="14" t="s">
        <v>48</v>
      </c>
      <c r="S39" s="15" t="s">
        <v>49</v>
      </c>
      <c r="T39" s="15" t="s">
        <v>50</v>
      </c>
      <c r="U39" s="9" t="s">
        <v>51</v>
      </c>
      <c r="V39" s="9" t="s">
        <v>52</v>
      </c>
      <c r="W39" s="9" t="s">
        <v>53</v>
      </c>
      <c r="X39" s="9" t="s">
        <v>54</v>
      </c>
      <c r="Y39" s="16" t="s">
        <v>55</v>
      </c>
      <c r="Z39" s="31">
        <v>100</v>
      </c>
      <c r="AA39" s="55"/>
      <c r="AB39" s="55"/>
      <c r="AC39" s="54">
        <v>1</v>
      </c>
      <c r="AD39" s="18">
        <f t="shared" si="27"/>
        <v>1</v>
      </c>
      <c r="AE39" s="38"/>
      <c r="AF39" s="38"/>
      <c r="AG39" s="38">
        <v>100</v>
      </c>
      <c r="AH39" s="38">
        <f t="shared" si="28"/>
        <v>100</v>
      </c>
      <c r="AI39" s="38"/>
      <c r="AJ39" s="38"/>
      <c r="AK39" s="359"/>
      <c r="AL39" s="359"/>
      <c r="AM39" s="74"/>
      <c r="AN39" s="38"/>
      <c r="AO39" s="38"/>
      <c r="AP39" s="74">
        <f t="shared" si="29"/>
        <v>0</v>
      </c>
      <c r="AQ39" s="38"/>
      <c r="AR39" s="38"/>
      <c r="AS39" s="74">
        <f t="shared" si="30"/>
        <v>0</v>
      </c>
      <c r="AT39" s="38"/>
      <c r="AU39" s="38"/>
      <c r="AV39" s="38">
        <f t="shared" si="31"/>
        <v>0</v>
      </c>
      <c r="AW39" s="38"/>
      <c r="AX39" s="38"/>
      <c r="AY39" s="38">
        <f t="shared" si="32"/>
        <v>0</v>
      </c>
      <c r="AZ39" s="38">
        <v>20</v>
      </c>
      <c r="BA39" s="38"/>
      <c r="BB39" s="38">
        <v>100</v>
      </c>
      <c r="BC39" s="74"/>
      <c r="BD39" s="74"/>
      <c r="BE39" s="38">
        <f t="shared" si="11"/>
        <v>100</v>
      </c>
      <c r="BF39" s="38"/>
      <c r="BG39" s="38"/>
      <c r="BH39" s="38">
        <f t="shared" si="12"/>
        <v>100</v>
      </c>
      <c r="BI39" s="38"/>
      <c r="BJ39" s="38"/>
      <c r="BK39" s="38">
        <f t="shared" si="13"/>
        <v>100</v>
      </c>
      <c r="BL39" s="365" t="s">
        <v>56</v>
      </c>
      <c r="BM39" s="334"/>
      <c r="BN39" s="334"/>
      <c r="BO39" s="32" t="s">
        <v>951</v>
      </c>
      <c r="BP39" s="72">
        <v>96</v>
      </c>
      <c r="BQ39" s="72"/>
      <c r="BR39" s="32"/>
      <c r="BS39" s="32"/>
      <c r="BT39" s="32"/>
      <c r="BU39" s="32"/>
      <c r="BV39" s="32"/>
      <c r="BW39" s="34" t="s">
        <v>952</v>
      </c>
      <c r="BX39" s="72">
        <v>96</v>
      </c>
      <c r="BY39" s="101"/>
      <c r="BZ39" s="101"/>
      <c r="CA39" s="101"/>
      <c r="CB39" s="101"/>
      <c r="CC39" s="10" t="s">
        <v>953</v>
      </c>
      <c r="CD39" s="72">
        <v>96</v>
      </c>
      <c r="CE39" s="72">
        <v>96</v>
      </c>
      <c r="CF39" s="781">
        <f t="shared" si="14"/>
        <v>0</v>
      </c>
      <c r="CG39" s="133" t="s">
        <v>45</v>
      </c>
      <c r="CH39" s="133" t="s">
        <v>45</v>
      </c>
      <c r="CI39" s="133" t="s">
        <v>45</v>
      </c>
      <c r="CJ39" s="133"/>
      <c r="CK39" s="10" t="s">
        <v>45</v>
      </c>
      <c r="CL39" s="10" t="s">
        <v>45</v>
      </c>
      <c r="CM39" s="9" t="s">
        <v>45</v>
      </c>
      <c r="CN39" s="9" t="s">
        <v>45</v>
      </c>
      <c r="CO39" s="9" t="s">
        <v>45</v>
      </c>
      <c r="CP39" s="9" t="s">
        <v>45</v>
      </c>
      <c r="CQ39" s="9" t="s">
        <v>45</v>
      </c>
      <c r="CR39" s="9" t="s">
        <v>45</v>
      </c>
    </row>
    <row r="40" spans="1:96" s="30" customFormat="1" ht="97.95" customHeight="1" x14ac:dyDescent="0.3">
      <c r="A40" s="4" t="s">
        <v>907</v>
      </c>
      <c r="B40" s="5" t="s">
        <v>90</v>
      </c>
      <c r="C40" s="8" t="s">
        <v>91</v>
      </c>
      <c r="D40" s="5" t="s">
        <v>92</v>
      </c>
      <c r="E40" s="8" t="s">
        <v>304</v>
      </c>
      <c r="F40" s="8" t="s">
        <v>942</v>
      </c>
      <c r="G40" s="409" t="s">
        <v>139</v>
      </c>
      <c r="H40" s="14" t="s">
        <v>132</v>
      </c>
      <c r="I40" s="14" t="s">
        <v>132</v>
      </c>
      <c r="J40" s="32" t="s">
        <v>96</v>
      </c>
      <c r="K40" s="10">
        <v>2025</v>
      </c>
      <c r="L40" s="26" t="s">
        <v>46</v>
      </c>
      <c r="M40" s="11" t="s">
        <v>47</v>
      </c>
      <c r="N40" s="11" t="s">
        <v>47</v>
      </c>
      <c r="O40" s="4" t="s">
        <v>45</v>
      </c>
      <c r="P40" s="4" t="s">
        <v>45</v>
      </c>
      <c r="Q40" s="27"/>
      <c r="R40" s="14" t="s">
        <v>48</v>
      </c>
      <c r="S40" s="15" t="s">
        <v>49</v>
      </c>
      <c r="T40" s="15" t="s">
        <v>50</v>
      </c>
      <c r="U40" s="9" t="s">
        <v>51</v>
      </c>
      <c r="V40" s="9" t="s">
        <v>52</v>
      </c>
      <c r="W40" s="9" t="s">
        <v>53</v>
      </c>
      <c r="X40" s="9" t="s">
        <v>54</v>
      </c>
      <c r="Y40" s="16" t="s">
        <v>55</v>
      </c>
      <c r="Z40" s="31">
        <v>100</v>
      </c>
      <c r="AA40" s="55"/>
      <c r="AB40" s="55"/>
      <c r="AC40" s="54">
        <v>1</v>
      </c>
      <c r="AD40" s="18">
        <f t="shared" si="27"/>
        <v>1</v>
      </c>
      <c r="AE40" s="38"/>
      <c r="AF40" s="38"/>
      <c r="AG40" s="38">
        <f>+BK40</f>
        <v>200</v>
      </c>
      <c r="AH40" s="38">
        <f t="shared" si="28"/>
        <v>200</v>
      </c>
      <c r="AI40" s="38"/>
      <c r="AJ40" s="38"/>
      <c r="AK40" s="359"/>
      <c r="AL40" s="359"/>
      <c r="AM40" s="74"/>
      <c r="AN40" s="38"/>
      <c r="AO40" s="38"/>
      <c r="AP40" s="74">
        <f t="shared" si="29"/>
        <v>0</v>
      </c>
      <c r="AQ40" s="38"/>
      <c r="AR40" s="38"/>
      <c r="AS40" s="74">
        <f t="shared" si="30"/>
        <v>0</v>
      </c>
      <c r="AT40" s="38"/>
      <c r="AU40" s="38"/>
      <c r="AV40" s="38">
        <f t="shared" si="31"/>
        <v>0</v>
      </c>
      <c r="AW40" s="38"/>
      <c r="AX40" s="38"/>
      <c r="AY40" s="38">
        <f t="shared" si="32"/>
        <v>0</v>
      </c>
      <c r="AZ40" s="38">
        <v>20</v>
      </c>
      <c r="BA40" s="38"/>
      <c r="BB40" s="38">
        <v>100</v>
      </c>
      <c r="BC40" s="74"/>
      <c r="BD40" s="74"/>
      <c r="BE40" s="38">
        <f t="shared" si="11"/>
        <v>100</v>
      </c>
      <c r="BF40" s="38">
        <v>100</v>
      </c>
      <c r="BG40" s="38"/>
      <c r="BH40" s="38">
        <f t="shared" si="12"/>
        <v>200</v>
      </c>
      <c r="BI40" s="38"/>
      <c r="BJ40" s="38"/>
      <c r="BK40" s="38">
        <f t="shared" si="13"/>
        <v>200</v>
      </c>
      <c r="BL40" s="365" t="s">
        <v>56</v>
      </c>
      <c r="BM40" s="334"/>
      <c r="BN40" s="334"/>
      <c r="BO40" s="32" t="s">
        <v>1102</v>
      </c>
      <c r="BP40" s="72">
        <f>12.7+41.27+51.25</f>
        <v>105.22</v>
      </c>
      <c r="BQ40" s="72"/>
      <c r="BR40" s="32"/>
      <c r="BS40" s="32"/>
      <c r="BT40" s="32"/>
      <c r="BU40" s="32"/>
      <c r="BV40" s="32"/>
      <c r="BW40" s="32" t="s">
        <v>1103</v>
      </c>
      <c r="BX40" s="72">
        <f>12.7+41.27+51.25</f>
        <v>105.22</v>
      </c>
      <c r="BY40" s="98"/>
      <c r="BZ40" s="98"/>
      <c r="CA40" s="98"/>
      <c r="CB40" s="98"/>
      <c r="CC40" s="9" t="s">
        <v>1120</v>
      </c>
      <c r="CD40" s="72">
        <f>12.7+41.27+51.25</f>
        <v>105.22</v>
      </c>
      <c r="CE40" s="72">
        <f>12.7+41.27+51.25</f>
        <v>105.22</v>
      </c>
      <c r="CF40" s="781">
        <f t="shared" si="14"/>
        <v>0</v>
      </c>
      <c r="CG40" s="133" t="s">
        <v>45</v>
      </c>
      <c r="CH40" s="133" t="s">
        <v>45</v>
      </c>
      <c r="CI40" s="133" t="s">
        <v>45</v>
      </c>
      <c r="CJ40" s="133"/>
      <c r="CK40" s="10" t="s">
        <v>45</v>
      </c>
      <c r="CL40" s="10" t="s">
        <v>45</v>
      </c>
      <c r="CM40" s="9" t="s">
        <v>45</v>
      </c>
      <c r="CN40" s="9" t="s">
        <v>45</v>
      </c>
      <c r="CO40" s="9" t="s">
        <v>45</v>
      </c>
      <c r="CP40" s="9" t="s">
        <v>45</v>
      </c>
      <c r="CQ40" s="9" t="s">
        <v>45</v>
      </c>
      <c r="CR40" s="9" t="s">
        <v>45</v>
      </c>
    </row>
    <row r="41" spans="1:96" s="30" customFormat="1" ht="115.2" customHeight="1" x14ac:dyDescent="0.3">
      <c r="A41" s="4" t="s">
        <v>907</v>
      </c>
      <c r="B41" s="5" t="s">
        <v>90</v>
      </c>
      <c r="C41" s="8" t="s">
        <v>91</v>
      </c>
      <c r="D41" s="5" t="s">
        <v>92</v>
      </c>
      <c r="E41" s="8" t="s">
        <v>1052</v>
      </c>
      <c r="F41" s="8" t="s">
        <v>1053</v>
      </c>
      <c r="G41" s="409" t="s">
        <v>139</v>
      </c>
      <c r="H41" s="14" t="s">
        <v>132</v>
      </c>
      <c r="I41" s="14" t="s">
        <v>132</v>
      </c>
      <c r="J41" s="32" t="s">
        <v>96</v>
      </c>
      <c r="K41" s="10">
        <v>2025</v>
      </c>
      <c r="L41" s="26" t="s">
        <v>46</v>
      </c>
      <c r="M41" s="11" t="s">
        <v>47</v>
      </c>
      <c r="N41" s="11" t="s">
        <v>47</v>
      </c>
      <c r="O41" s="4" t="s">
        <v>45</v>
      </c>
      <c r="P41" s="4" t="s">
        <v>45</v>
      </c>
      <c r="Q41" s="27"/>
      <c r="R41" s="14" t="s">
        <v>48</v>
      </c>
      <c r="S41" s="15" t="s">
        <v>49</v>
      </c>
      <c r="T41" s="15" t="s">
        <v>50</v>
      </c>
      <c r="U41" s="9" t="s">
        <v>51</v>
      </c>
      <c r="V41" s="9" t="s">
        <v>52</v>
      </c>
      <c r="W41" s="9" t="s">
        <v>53</v>
      </c>
      <c r="X41" s="9" t="s">
        <v>54</v>
      </c>
      <c r="Y41" s="16" t="s">
        <v>55</v>
      </c>
      <c r="Z41" s="31">
        <v>100</v>
      </c>
      <c r="AA41" s="55"/>
      <c r="AB41" s="55"/>
      <c r="AC41" s="54">
        <v>1</v>
      </c>
      <c r="AD41" s="18">
        <f t="shared" ref="AD41" si="33">+AA41+AB41+AC41</f>
        <v>1</v>
      </c>
      <c r="AE41" s="38"/>
      <c r="AF41" s="38"/>
      <c r="AG41" s="38">
        <f>+BK41</f>
        <v>50</v>
      </c>
      <c r="AH41" s="38">
        <f t="shared" ref="AH41" si="34">+AE41+AF41+AG41</f>
        <v>50</v>
      </c>
      <c r="AI41" s="38"/>
      <c r="AJ41" s="38"/>
      <c r="AK41" s="359"/>
      <c r="AL41" s="359"/>
      <c r="AM41" s="74"/>
      <c r="AN41" s="38"/>
      <c r="AO41" s="38"/>
      <c r="AP41" s="74">
        <f t="shared" ref="AP41" si="35">+AM41+AN41-AO41</f>
        <v>0</v>
      </c>
      <c r="AQ41" s="38"/>
      <c r="AR41" s="38"/>
      <c r="AS41" s="74">
        <f t="shared" ref="AS41" si="36">+AP41+AQ41-AR41</f>
        <v>0</v>
      </c>
      <c r="AT41" s="38"/>
      <c r="AU41" s="38"/>
      <c r="AV41" s="38">
        <f t="shared" ref="AV41" si="37">+AS41+AT41-AU41</f>
        <v>0</v>
      </c>
      <c r="AW41" s="38"/>
      <c r="AX41" s="38"/>
      <c r="AY41" s="38">
        <f t="shared" ref="AY41" si="38">+AV41+AW41-AX41</f>
        <v>0</v>
      </c>
      <c r="AZ41" s="38">
        <v>20</v>
      </c>
      <c r="BA41" s="38"/>
      <c r="BB41" s="38">
        <v>100</v>
      </c>
      <c r="BC41" s="74"/>
      <c r="BD41" s="74"/>
      <c r="BE41" s="38">
        <f t="shared" ref="BE41" si="39">+BB41+BC41-BD41</f>
        <v>100</v>
      </c>
      <c r="BF41" s="38">
        <v>100</v>
      </c>
      <c r="BG41" s="38"/>
      <c r="BH41" s="38">
        <v>0</v>
      </c>
      <c r="BI41" s="38">
        <v>50</v>
      </c>
      <c r="BJ41" s="38"/>
      <c r="BK41" s="38">
        <f t="shared" ref="BK41" si="40">+BH41+BI41-BJ41</f>
        <v>50</v>
      </c>
      <c r="BL41" s="365" t="s">
        <v>56</v>
      </c>
      <c r="BM41" s="334"/>
      <c r="BN41" s="334"/>
      <c r="BO41" s="32" t="s">
        <v>1061</v>
      </c>
      <c r="BP41" s="72">
        <v>38</v>
      </c>
      <c r="BQ41" s="72"/>
      <c r="BR41" s="32"/>
      <c r="BS41" s="32"/>
      <c r="BT41" s="32"/>
      <c r="BU41" s="32"/>
      <c r="BV41" s="32"/>
      <c r="BW41" s="34" t="s">
        <v>1062</v>
      </c>
      <c r="BX41" s="72">
        <v>38</v>
      </c>
      <c r="BY41" s="98"/>
      <c r="BZ41" s="98"/>
      <c r="CA41" s="98"/>
      <c r="CB41" s="98"/>
      <c r="CC41" s="10" t="s">
        <v>1063</v>
      </c>
      <c r="CD41" s="72">
        <v>38</v>
      </c>
      <c r="CE41" s="72">
        <v>38</v>
      </c>
      <c r="CF41" s="781">
        <f t="shared" si="14"/>
        <v>0</v>
      </c>
      <c r="CG41" s="133" t="s">
        <v>45</v>
      </c>
      <c r="CH41" s="133" t="s">
        <v>45</v>
      </c>
      <c r="CI41" s="133" t="s">
        <v>45</v>
      </c>
      <c r="CJ41" s="133"/>
      <c r="CK41" s="10" t="s">
        <v>45</v>
      </c>
      <c r="CL41" s="10" t="s">
        <v>45</v>
      </c>
      <c r="CM41" s="9" t="s">
        <v>45</v>
      </c>
      <c r="CN41" s="9" t="s">
        <v>45</v>
      </c>
      <c r="CO41" s="9" t="s">
        <v>45</v>
      </c>
      <c r="CP41" s="9" t="s">
        <v>45</v>
      </c>
      <c r="CQ41" s="9" t="s">
        <v>45</v>
      </c>
      <c r="CR41" s="9" t="s">
        <v>45</v>
      </c>
    </row>
    <row r="42" spans="1:96" s="19" customFormat="1" ht="340.95" customHeight="1" x14ac:dyDescent="0.3">
      <c r="A42" s="4" t="s">
        <v>907</v>
      </c>
      <c r="B42" s="5" t="s">
        <v>90</v>
      </c>
      <c r="C42" s="8" t="s">
        <v>91</v>
      </c>
      <c r="D42" s="5" t="s">
        <v>92</v>
      </c>
      <c r="E42" s="331" t="s">
        <v>100</v>
      </c>
      <c r="F42" s="6" t="s">
        <v>101</v>
      </c>
      <c r="G42" s="15" t="s">
        <v>102</v>
      </c>
      <c r="H42" s="14" t="s">
        <v>44</v>
      </c>
      <c r="I42" s="14" t="s">
        <v>132</v>
      </c>
      <c r="J42" s="9" t="s">
        <v>96</v>
      </c>
      <c r="K42" s="10">
        <v>2025</v>
      </c>
      <c r="L42" s="11" t="s">
        <v>46</v>
      </c>
      <c r="M42" s="11" t="s">
        <v>47</v>
      </c>
      <c r="N42" s="11" t="s">
        <v>47</v>
      </c>
      <c r="O42" s="12">
        <v>58</v>
      </c>
      <c r="P42" s="12" t="s">
        <v>45</v>
      </c>
      <c r="Q42" s="13"/>
      <c r="R42" s="14" t="s">
        <v>48</v>
      </c>
      <c r="S42" s="15" t="s">
        <v>49</v>
      </c>
      <c r="T42" s="15" t="s">
        <v>50</v>
      </c>
      <c r="U42" s="9" t="s">
        <v>51</v>
      </c>
      <c r="V42" s="9" t="s">
        <v>52</v>
      </c>
      <c r="W42" s="9" t="s">
        <v>53</v>
      </c>
      <c r="X42" s="9" t="s">
        <v>54</v>
      </c>
      <c r="Y42" s="16" t="s">
        <v>55</v>
      </c>
      <c r="Z42" s="21">
        <v>13500</v>
      </c>
      <c r="AA42" s="55">
        <v>0.33329999999999999</v>
      </c>
      <c r="AB42" s="55">
        <v>0.33329999999999999</v>
      </c>
      <c r="AC42" s="55">
        <v>0.33329999999999999</v>
      </c>
      <c r="AD42" s="18">
        <f t="shared" si="23"/>
        <v>0.99990000000000001</v>
      </c>
      <c r="AE42" s="38">
        <v>4500</v>
      </c>
      <c r="AF42" s="38">
        <v>4500</v>
      </c>
      <c r="AG42" s="38">
        <v>4500</v>
      </c>
      <c r="AH42" s="38">
        <f t="shared" si="1"/>
        <v>13500</v>
      </c>
      <c r="AI42" s="38"/>
      <c r="AJ42" s="38"/>
      <c r="AK42" s="359"/>
      <c r="AL42" s="359"/>
      <c r="AM42" s="74">
        <f t="shared" ref="AM42:AM53" si="41">+Z42+AI42-AJ42+AK42-AL42</f>
        <v>13500</v>
      </c>
      <c r="AN42" s="38"/>
      <c r="AO42" s="38"/>
      <c r="AP42" s="74">
        <f t="shared" si="24"/>
        <v>13500</v>
      </c>
      <c r="AQ42" s="38"/>
      <c r="AR42" s="38"/>
      <c r="AS42" s="74">
        <f t="shared" si="25"/>
        <v>13500</v>
      </c>
      <c r="AT42" s="38"/>
      <c r="AU42" s="38"/>
      <c r="AV42" s="38">
        <f t="shared" si="26"/>
        <v>13500</v>
      </c>
      <c r="AW42" s="38"/>
      <c r="AX42" s="38"/>
      <c r="AY42" s="38">
        <f t="shared" ref="AY42:AY53" si="42">+AV42+AW42-AX42</f>
        <v>13500</v>
      </c>
      <c r="AZ42" s="38"/>
      <c r="BA42" s="38"/>
      <c r="BB42" s="38">
        <f t="shared" ref="BB42:BB53" si="43">+AY42+AZ42-BA42</f>
        <v>13500</v>
      </c>
      <c r="BC42" s="74"/>
      <c r="BD42" s="74"/>
      <c r="BE42" s="38">
        <f t="shared" si="11"/>
        <v>13500</v>
      </c>
      <c r="BF42" s="38"/>
      <c r="BG42" s="38"/>
      <c r="BH42" s="38">
        <f t="shared" si="12"/>
        <v>13500</v>
      </c>
      <c r="BI42" s="38"/>
      <c r="BJ42" s="38">
        <v>50</v>
      </c>
      <c r="BK42" s="38">
        <f t="shared" si="13"/>
        <v>13450</v>
      </c>
      <c r="BL42" s="337" t="s">
        <v>56</v>
      </c>
      <c r="BM42" s="131"/>
      <c r="BN42" s="131"/>
      <c r="BO42" s="32" t="s">
        <v>1106</v>
      </c>
      <c r="BP42" s="67">
        <f>210+1450+210+210+240+160+320+160+1200+2400</f>
        <v>6560</v>
      </c>
      <c r="BQ42" s="67"/>
      <c r="BR42" s="34"/>
      <c r="BS42" s="34"/>
      <c r="BT42" s="34"/>
      <c r="BU42" s="34"/>
      <c r="BV42" s="34"/>
      <c r="BW42" s="32" t="s">
        <v>1107</v>
      </c>
      <c r="BX42" s="67">
        <f>210+1450+210+210+240+160+320+160+1200+2400</f>
        <v>6560</v>
      </c>
      <c r="BY42" s="95"/>
      <c r="BZ42" s="95"/>
      <c r="CA42" s="95"/>
      <c r="CB42" s="95"/>
      <c r="CC42" s="9" t="s">
        <v>1130</v>
      </c>
      <c r="CD42" s="67">
        <f>130+80+650+400+400+80+130+240+80+130+80+80+160+160+80+80+400+400+400+480+480+480+480+480</f>
        <v>6560</v>
      </c>
      <c r="CE42" s="67">
        <f>130+80+650+400+400+80+130+240+80+130+80+80+160+160+80+80+400+400+400+480+480+480+480+480</f>
        <v>6560</v>
      </c>
      <c r="CF42" s="781">
        <f t="shared" si="14"/>
        <v>0</v>
      </c>
      <c r="CG42" s="133" t="s">
        <v>45</v>
      </c>
      <c r="CH42" s="133" t="s">
        <v>45</v>
      </c>
      <c r="CI42" s="133" t="s">
        <v>45</v>
      </c>
      <c r="CJ42" s="133"/>
      <c r="CK42" s="10" t="s">
        <v>45</v>
      </c>
      <c r="CL42" s="10" t="s">
        <v>45</v>
      </c>
      <c r="CM42" s="9" t="s">
        <v>45</v>
      </c>
      <c r="CN42" s="9" t="s">
        <v>45</v>
      </c>
      <c r="CO42" s="9" t="s">
        <v>45</v>
      </c>
      <c r="CP42" s="9" t="s">
        <v>45</v>
      </c>
      <c r="CQ42" s="9" t="s">
        <v>45</v>
      </c>
      <c r="CR42" s="9" t="s">
        <v>45</v>
      </c>
    </row>
    <row r="43" spans="1:96" s="19" customFormat="1" ht="180.6" customHeight="1" x14ac:dyDescent="0.3">
      <c r="A43" s="4" t="s">
        <v>907</v>
      </c>
      <c r="B43" s="5" t="s">
        <v>90</v>
      </c>
      <c r="C43" s="8" t="s">
        <v>91</v>
      </c>
      <c r="D43" s="5" t="s">
        <v>92</v>
      </c>
      <c r="E43" s="331" t="s">
        <v>103</v>
      </c>
      <c r="F43" s="6" t="s">
        <v>104</v>
      </c>
      <c r="G43" s="15" t="s">
        <v>105</v>
      </c>
      <c r="H43" s="14" t="s">
        <v>44</v>
      </c>
      <c r="I43" s="14" t="s">
        <v>132</v>
      </c>
      <c r="J43" s="9" t="s">
        <v>96</v>
      </c>
      <c r="K43" s="10">
        <v>2025</v>
      </c>
      <c r="L43" s="11" t="s">
        <v>46</v>
      </c>
      <c r="M43" s="11" t="s">
        <v>47</v>
      </c>
      <c r="N43" s="11" t="s">
        <v>47</v>
      </c>
      <c r="O43" s="12">
        <v>58</v>
      </c>
      <c r="P43" s="12" t="s">
        <v>45</v>
      </c>
      <c r="Q43" s="13"/>
      <c r="R43" s="14" t="s">
        <v>48</v>
      </c>
      <c r="S43" s="15" t="s">
        <v>49</v>
      </c>
      <c r="T43" s="15" t="s">
        <v>50</v>
      </c>
      <c r="U43" s="9" t="s">
        <v>51</v>
      </c>
      <c r="V43" s="9" t="s">
        <v>52</v>
      </c>
      <c r="W43" s="9" t="s">
        <v>53</v>
      </c>
      <c r="X43" s="9" t="s">
        <v>54</v>
      </c>
      <c r="Y43" s="16" t="s">
        <v>55</v>
      </c>
      <c r="Z43" s="21">
        <v>6500</v>
      </c>
      <c r="AA43" s="55">
        <v>0.33329999999999999</v>
      </c>
      <c r="AB43" s="55">
        <v>0.33329999999999999</v>
      </c>
      <c r="AC43" s="55">
        <v>0.33329999999999999</v>
      </c>
      <c r="AD43" s="18">
        <f t="shared" si="23"/>
        <v>0.99990000000000001</v>
      </c>
      <c r="AE43" s="38">
        <v>2166.6666666666665</v>
      </c>
      <c r="AF43" s="38">
        <v>2166.6666666666665</v>
      </c>
      <c r="AG43" s="38">
        <v>2166.6666666666665</v>
      </c>
      <c r="AH43" s="38">
        <f t="shared" si="1"/>
        <v>6500</v>
      </c>
      <c r="AI43" s="38"/>
      <c r="AJ43" s="38"/>
      <c r="AK43" s="359"/>
      <c r="AL43" s="359"/>
      <c r="AM43" s="74">
        <f t="shared" si="41"/>
        <v>6500</v>
      </c>
      <c r="AN43" s="38"/>
      <c r="AO43" s="38"/>
      <c r="AP43" s="74">
        <f t="shared" si="24"/>
        <v>6500</v>
      </c>
      <c r="AQ43" s="38"/>
      <c r="AR43" s="38"/>
      <c r="AS43" s="74">
        <f t="shared" si="25"/>
        <v>6500</v>
      </c>
      <c r="AT43" s="38"/>
      <c r="AU43" s="38"/>
      <c r="AV43" s="38">
        <f t="shared" si="26"/>
        <v>6500</v>
      </c>
      <c r="AW43" s="38"/>
      <c r="AX43" s="38"/>
      <c r="AY43" s="38">
        <f t="shared" si="42"/>
        <v>6500</v>
      </c>
      <c r="AZ43" s="38"/>
      <c r="BA43" s="38"/>
      <c r="BB43" s="38">
        <f t="shared" si="43"/>
        <v>6500</v>
      </c>
      <c r="BC43" s="74"/>
      <c r="BD43" s="74"/>
      <c r="BE43" s="38">
        <f t="shared" si="11"/>
        <v>6500</v>
      </c>
      <c r="BF43" s="38"/>
      <c r="BG43" s="38"/>
      <c r="BH43" s="38">
        <f t="shared" si="12"/>
        <v>6500</v>
      </c>
      <c r="BI43" s="38"/>
      <c r="BJ43" s="38"/>
      <c r="BK43" s="38">
        <f t="shared" si="13"/>
        <v>6500</v>
      </c>
      <c r="BL43" s="337" t="s">
        <v>56</v>
      </c>
      <c r="BM43" s="131"/>
      <c r="BN43" s="131"/>
      <c r="BO43" s="32" t="s">
        <v>485</v>
      </c>
      <c r="BP43" s="67">
        <v>5516.7</v>
      </c>
      <c r="BQ43" s="67"/>
      <c r="BR43" s="34"/>
      <c r="BS43" s="34"/>
      <c r="BT43" s="34"/>
      <c r="BU43" s="34"/>
      <c r="BV43" s="34"/>
      <c r="BW43" s="34" t="s">
        <v>486</v>
      </c>
      <c r="BX43" s="67">
        <v>5516.7</v>
      </c>
      <c r="BY43" s="95"/>
      <c r="BZ43" s="95"/>
      <c r="CA43" s="95"/>
      <c r="CB43" s="95"/>
      <c r="CC43" s="9" t="s">
        <v>510</v>
      </c>
      <c r="CD43" s="67">
        <f>2874.9+2641.8</f>
        <v>5516.7000000000007</v>
      </c>
      <c r="CE43" s="67">
        <f>2874.9+2641.8</f>
        <v>5516.7000000000007</v>
      </c>
      <c r="CF43" s="781">
        <f t="shared" si="14"/>
        <v>0</v>
      </c>
      <c r="CG43" s="419" t="s">
        <v>544</v>
      </c>
      <c r="CH43" s="419" t="s">
        <v>544</v>
      </c>
      <c r="CI43" s="419" t="s">
        <v>544</v>
      </c>
      <c r="CJ43" s="419"/>
      <c r="CK43" s="10" t="s">
        <v>45</v>
      </c>
      <c r="CL43" s="10" t="s">
        <v>45</v>
      </c>
      <c r="CM43" s="9" t="s">
        <v>45</v>
      </c>
      <c r="CN43" s="9" t="s">
        <v>45</v>
      </c>
      <c r="CO43" s="9" t="s">
        <v>45</v>
      </c>
      <c r="CP43" s="9" t="s">
        <v>45</v>
      </c>
      <c r="CQ43" s="9" t="s">
        <v>45</v>
      </c>
      <c r="CR43" s="9" t="s">
        <v>45</v>
      </c>
    </row>
    <row r="44" spans="1:96" s="19" customFormat="1" ht="213.6" customHeight="1" x14ac:dyDescent="0.3">
      <c r="A44" s="4" t="s">
        <v>907</v>
      </c>
      <c r="B44" s="5" t="s">
        <v>90</v>
      </c>
      <c r="C44" s="8" t="s">
        <v>91</v>
      </c>
      <c r="D44" s="5" t="s">
        <v>92</v>
      </c>
      <c r="E44" s="331" t="s">
        <v>93</v>
      </c>
      <c r="F44" s="6" t="s">
        <v>94</v>
      </c>
      <c r="G44" s="32" t="s">
        <v>95</v>
      </c>
      <c r="H44" s="14" t="s">
        <v>44</v>
      </c>
      <c r="I44" s="14" t="s">
        <v>904</v>
      </c>
      <c r="J44" s="9" t="s">
        <v>96</v>
      </c>
      <c r="K44" s="10">
        <v>2025</v>
      </c>
      <c r="L44" s="11" t="s">
        <v>46</v>
      </c>
      <c r="M44" s="11" t="s">
        <v>47</v>
      </c>
      <c r="N44" s="11" t="s">
        <v>47</v>
      </c>
      <c r="O44" s="12">
        <v>58</v>
      </c>
      <c r="P44" s="12" t="s">
        <v>45</v>
      </c>
      <c r="Q44" s="13"/>
      <c r="R44" s="14" t="s">
        <v>48</v>
      </c>
      <c r="S44" s="15" t="s">
        <v>49</v>
      </c>
      <c r="T44" s="15" t="s">
        <v>50</v>
      </c>
      <c r="U44" s="9" t="s">
        <v>51</v>
      </c>
      <c r="V44" s="9" t="s">
        <v>52</v>
      </c>
      <c r="W44" s="9" t="s">
        <v>53</v>
      </c>
      <c r="X44" s="9" t="s">
        <v>54</v>
      </c>
      <c r="Y44" s="16" t="s">
        <v>55</v>
      </c>
      <c r="Z44" s="21">
        <v>500</v>
      </c>
      <c r="AA44" s="55">
        <v>0.33329999999999999</v>
      </c>
      <c r="AB44" s="55">
        <v>0.33329999999999999</v>
      </c>
      <c r="AC44" s="55">
        <v>0.33329999999999999</v>
      </c>
      <c r="AD44" s="18">
        <f t="shared" si="23"/>
        <v>0.99990000000000001</v>
      </c>
      <c r="AE44" s="38">
        <v>166.66666666666666</v>
      </c>
      <c r="AF44" s="38">
        <v>166.66666666666666</v>
      </c>
      <c r="AG44" s="38">
        <v>166.66666666666666</v>
      </c>
      <c r="AH44" s="38">
        <f t="shared" si="1"/>
        <v>500</v>
      </c>
      <c r="AI44" s="38"/>
      <c r="AJ44" s="38"/>
      <c r="AK44" s="359"/>
      <c r="AL44" s="359"/>
      <c r="AM44" s="74">
        <f t="shared" si="41"/>
        <v>500</v>
      </c>
      <c r="AN44" s="38"/>
      <c r="AO44" s="38"/>
      <c r="AP44" s="74">
        <f t="shared" si="24"/>
        <v>500</v>
      </c>
      <c r="AQ44" s="38"/>
      <c r="AR44" s="38"/>
      <c r="AS44" s="74">
        <f t="shared" si="25"/>
        <v>500</v>
      </c>
      <c r="AT44" s="38"/>
      <c r="AU44" s="38"/>
      <c r="AV44" s="38">
        <f t="shared" si="26"/>
        <v>500</v>
      </c>
      <c r="AW44" s="38"/>
      <c r="AX44" s="38"/>
      <c r="AY44" s="38">
        <f t="shared" si="42"/>
        <v>500</v>
      </c>
      <c r="AZ44" s="38"/>
      <c r="BA44" s="38"/>
      <c r="BB44" s="38">
        <f t="shared" si="43"/>
        <v>500</v>
      </c>
      <c r="BC44" s="74"/>
      <c r="BD44" s="74"/>
      <c r="BE44" s="38">
        <f t="shared" si="11"/>
        <v>500</v>
      </c>
      <c r="BF44" s="38"/>
      <c r="BG44" s="38"/>
      <c r="BH44" s="38">
        <f t="shared" si="12"/>
        <v>500</v>
      </c>
      <c r="BI44" s="38"/>
      <c r="BJ44" s="38">
        <v>500</v>
      </c>
      <c r="BK44" s="38">
        <f t="shared" si="13"/>
        <v>0</v>
      </c>
      <c r="BL44" s="337" t="s">
        <v>56</v>
      </c>
      <c r="BM44" s="131"/>
      <c r="BN44" s="131"/>
      <c r="BO44" s="34"/>
      <c r="BP44" s="34"/>
      <c r="BQ44" s="34"/>
      <c r="BR44" s="34"/>
      <c r="BS44" s="34"/>
      <c r="BT44" s="34"/>
      <c r="BU44" s="34"/>
      <c r="BV44" s="34"/>
      <c r="BW44" s="95"/>
      <c r="BX44" s="95"/>
      <c r="BY44" s="95"/>
      <c r="BZ44" s="95"/>
      <c r="CA44" s="95"/>
      <c r="CB44" s="95"/>
      <c r="CC44" s="99"/>
      <c r="CD44" s="96"/>
      <c r="CE44" s="96"/>
      <c r="CF44" s="781">
        <f t="shared" si="14"/>
        <v>0</v>
      </c>
      <c r="CG44" s="420" t="s">
        <v>974</v>
      </c>
      <c r="CH44" s="134"/>
      <c r="CI44" s="412"/>
      <c r="CJ44" s="412"/>
      <c r="CK44" s="10" t="s">
        <v>45</v>
      </c>
      <c r="CL44" s="10" t="s">
        <v>45</v>
      </c>
      <c r="CM44" s="9" t="s">
        <v>45</v>
      </c>
      <c r="CN44" s="9" t="s">
        <v>45</v>
      </c>
      <c r="CO44" s="9" t="s">
        <v>45</v>
      </c>
      <c r="CP44" s="9" t="s">
        <v>45</v>
      </c>
      <c r="CQ44" s="9" t="s">
        <v>45</v>
      </c>
      <c r="CR44" s="9" t="s">
        <v>45</v>
      </c>
    </row>
    <row r="45" spans="1:96" s="19" customFormat="1" ht="190.2" customHeight="1" x14ac:dyDescent="0.3">
      <c r="A45" s="4" t="s">
        <v>907</v>
      </c>
      <c r="B45" s="5" t="s">
        <v>90</v>
      </c>
      <c r="C45" s="8" t="s">
        <v>91</v>
      </c>
      <c r="D45" s="5" t="s">
        <v>92</v>
      </c>
      <c r="E45" s="331" t="s">
        <v>97</v>
      </c>
      <c r="F45" s="6" t="s">
        <v>98</v>
      </c>
      <c r="G45" s="15" t="s">
        <v>99</v>
      </c>
      <c r="H45" s="14" t="s">
        <v>44</v>
      </c>
      <c r="I45" s="14" t="s">
        <v>904</v>
      </c>
      <c r="J45" s="9" t="s">
        <v>96</v>
      </c>
      <c r="K45" s="10">
        <v>2025</v>
      </c>
      <c r="L45" s="11" t="s">
        <v>46</v>
      </c>
      <c r="M45" s="11" t="s">
        <v>47</v>
      </c>
      <c r="N45" s="11" t="s">
        <v>47</v>
      </c>
      <c r="O45" s="12">
        <v>58</v>
      </c>
      <c r="P45" s="12" t="s">
        <v>45</v>
      </c>
      <c r="Q45" s="13"/>
      <c r="R45" s="14" t="s">
        <v>48</v>
      </c>
      <c r="S45" s="15" t="s">
        <v>49</v>
      </c>
      <c r="T45" s="15" t="s">
        <v>50</v>
      </c>
      <c r="U45" s="9" t="s">
        <v>51</v>
      </c>
      <c r="V45" s="9" t="s">
        <v>52</v>
      </c>
      <c r="W45" s="9" t="s">
        <v>53</v>
      </c>
      <c r="X45" s="9" t="s">
        <v>54</v>
      </c>
      <c r="Y45" s="16" t="s">
        <v>55</v>
      </c>
      <c r="Z45" s="21">
        <v>5000</v>
      </c>
      <c r="AA45" s="55">
        <v>0.33329999999999999</v>
      </c>
      <c r="AB45" s="55">
        <v>0.33329999999999999</v>
      </c>
      <c r="AC45" s="55">
        <v>0.33329999999999999</v>
      </c>
      <c r="AD45" s="18">
        <f t="shared" si="23"/>
        <v>0.99990000000000001</v>
      </c>
      <c r="AE45" s="38">
        <v>940.88666666666666</v>
      </c>
      <c r="AF45" s="38">
        <v>940.88666666666666</v>
      </c>
      <c r="AG45" s="38">
        <v>940.88666666666666</v>
      </c>
      <c r="AH45" s="38">
        <f t="shared" si="1"/>
        <v>2822.66</v>
      </c>
      <c r="AI45" s="38"/>
      <c r="AJ45" s="38"/>
      <c r="AK45" s="359"/>
      <c r="AL45" s="359"/>
      <c r="AM45" s="74">
        <f t="shared" si="41"/>
        <v>5000</v>
      </c>
      <c r="AN45" s="38"/>
      <c r="AO45" s="38"/>
      <c r="AP45" s="74">
        <f t="shared" si="24"/>
        <v>5000</v>
      </c>
      <c r="AQ45" s="38"/>
      <c r="AR45" s="38"/>
      <c r="AS45" s="74">
        <f t="shared" si="25"/>
        <v>5000</v>
      </c>
      <c r="AT45" s="38"/>
      <c r="AU45" s="38"/>
      <c r="AV45" s="38">
        <f t="shared" si="26"/>
        <v>5000</v>
      </c>
      <c r="AW45" s="38"/>
      <c r="AX45" s="38"/>
      <c r="AY45" s="38">
        <f t="shared" si="42"/>
        <v>5000</v>
      </c>
      <c r="AZ45" s="38"/>
      <c r="BA45" s="38"/>
      <c r="BB45" s="38">
        <f t="shared" si="43"/>
        <v>5000</v>
      </c>
      <c r="BC45" s="74"/>
      <c r="BD45" s="74">
        <v>2177.34</v>
      </c>
      <c r="BE45" s="38">
        <f t="shared" si="11"/>
        <v>2822.66</v>
      </c>
      <c r="BF45" s="38"/>
      <c r="BG45" s="38"/>
      <c r="BH45" s="38">
        <f t="shared" si="12"/>
        <v>2822.66</v>
      </c>
      <c r="BI45" s="38"/>
      <c r="BJ45" s="38"/>
      <c r="BK45" s="38">
        <f t="shared" si="13"/>
        <v>2822.66</v>
      </c>
      <c r="BL45" s="337" t="s">
        <v>56</v>
      </c>
      <c r="BM45" s="131"/>
      <c r="BN45" s="131"/>
      <c r="BO45" s="32" t="s">
        <v>483</v>
      </c>
      <c r="BP45" s="67">
        <f>2812.66+10</f>
        <v>2822.66</v>
      </c>
      <c r="BQ45" s="67"/>
      <c r="BR45" s="34"/>
      <c r="BS45" s="34"/>
      <c r="BT45" s="34"/>
      <c r="BU45" s="34"/>
      <c r="BV45" s="34"/>
      <c r="BW45" s="34" t="s">
        <v>484</v>
      </c>
      <c r="BX45" s="67">
        <f>2812.66+10</f>
        <v>2822.66</v>
      </c>
      <c r="BY45" s="95"/>
      <c r="BZ45" s="95"/>
      <c r="CA45" s="95"/>
      <c r="CB45" s="95"/>
      <c r="CC45" s="10" t="s">
        <v>497</v>
      </c>
      <c r="CD45" s="67">
        <v>2822.66</v>
      </c>
      <c r="CE45" s="67">
        <v>2822.66</v>
      </c>
      <c r="CF45" s="781">
        <f t="shared" si="14"/>
        <v>0</v>
      </c>
      <c r="CG45" s="419" t="s">
        <v>544</v>
      </c>
      <c r="CH45" s="419" t="s">
        <v>544</v>
      </c>
      <c r="CI45" s="419" t="s">
        <v>544</v>
      </c>
      <c r="CJ45" s="419"/>
      <c r="CK45" s="10" t="s">
        <v>45</v>
      </c>
      <c r="CL45" s="10" t="s">
        <v>45</v>
      </c>
      <c r="CM45" s="9" t="s">
        <v>45</v>
      </c>
      <c r="CN45" s="9" t="s">
        <v>45</v>
      </c>
      <c r="CO45" s="9" t="s">
        <v>45</v>
      </c>
      <c r="CP45" s="9" t="s">
        <v>45</v>
      </c>
      <c r="CQ45" s="9" t="s">
        <v>45</v>
      </c>
      <c r="CR45" s="9" t="s">
        <v>45</v>
      </c>
    </row>
    <row r="46" spans="1:96" s="30" customFormat="1" ht="173.7" customHeight="1" x14ac:dyDescent="0.3">
      <c r="A46" s="4" t="s">
        <v>907</v>
      </c>
      <c r="B46" s="5" t="s">
        <v>90</v>
      </c>
      <c r="C46" s="5" t="s">
        <v>91</v>
      </c>
      <c r="D46" s="5" t="s">
        <v>92</v>
      </c>
      <c r="E46" s="24" t="s">
        <v>118</v>
      </c>
      <c r="F46" s="24" t="s">
        <v>119</v>
      </c>
      <c r="G46" s="15" t="s">
        <v>120</v>
      </c>
      <c r="H46" s="14" t="s">
        <v>44</v>
      </c>
      <c r="I46" s="14" t="s">
        <v>904</v>
      </c>
      <c r="J46" s="9" t="s">
        <v>96</v>
      </c>
      <c r="K46" s="10">
        <v>2025</v>
      </c>
      <c r="L46" s="26" t="s">
        <v>46</v>
      </c>
      <c r="M46" s="11" t="s">
        <v>47</v>
      </c>
      <c r="N46" s="11" t="s">
        <v>47</v>
      </c>
      <c r="O46" s="4">
        <v>58</v>
      </c>
      <c r="P46" s="4" t="s">
        <v>121</v>
      </c>
      <c r="Q46" s="27"/>
      <c r="R46" s="14" t="s">
        <v>48</v>
      </c>
      <c r="S46" s="15" t="s">
        <v>49</v>
      </c>
      <c r="T46" s="15" t="s">
        <v>50</v>
      </c>
      <c r="U46" s="9" t="s">
        <v>51</v>
      </c>
      <c r="V46" s="9" t="s">
        <v>52</v>
      </c>
      <c r="W46" s="9" t="s">
        <v>53</v>
      </c>
      <c r="X46" s="9" t="s">
        <v>54</v>
      </c>
      <c r="Y46" s="16" t="s">
        <v>55</v>
      </c>
      <c r="Z46" s="28">
        <v>1000</v>
      </c>
      <c r="AA46" s="56">
        <v>1</v>
      </c>
      <c r="AB46" s="56"/>
      <c r="AC46" s="56"/>
      <c r="AD46" s="29">
        <f t="shared" si="23"/>
        <v>1</v>
      </c>
      <c r="AE46" s="68">
        <v>1000.62</v>
      </c>
      <c r="AF46" s="68"/>
      <c r="AG46" s="68"/>
      <c r="AH46" s="38">
        <f t="shared" si="1"/>
        <v>1000.62</v>
      </c>
      <c r="AI46" s="69">
        <v>0.62</v>
      </c>
      <c r="AJ46" s="69"/>
      <c r="AK46" s="73"/>
      <c r="AL46" s="73"/>
      <c r="AM46" s="74">
        <f t="shared" si="41"/>
        <v>1000.62</v>
      </c>
      <c r="AN46" s="69"/>
      <c r="AO46" s="69"/>
      <c r="AP46" s="74">
        <f t="shared" si="24"/>
        <v>1000.62</v>
      </c>
      <c r="AQ46" s="69"/>
      <c r="AR46" s="69"/>
      <c r="AS46" s="74">
        <f t="shared" si="25"/>
        <v>1000.62</v>
      </c>
      <c r="AT46" s="38"/>
      <c r="AU46" s="38"/>
      <c r="AV46" s="38">
        <f t="shared" si="26"/>
        <v>1000.62</v>
      </c>
      <c r="AW46" s="38"/>
      <c r="AX46" s="38"/>
      <c r="AY46" s="38">
        <f t="shared" si="42"/>
        <v>1000.62</v>
      </c>
      <c r="AZ46" s="38"/>
      <c r="BA46" s="38"/>
      <c r="BB46" s="38">
        <f t="shared" si="43"/>
        <v>1000.62</v>
      </c>
      <c r="BC46" s="74"/>
      <c r="BD46" s="74"/>
      <c r="BE46" s="38">
        <f t="shared" si="11"/>
        <v>1000.62</v>
      </c>
      <c r="BF46" s="38"/>
      <c r="BG46" s="38"/>
      <c r="BH46" s="38">
        <f t="shared" si="12"/>
        <v>1000.62</v>
      </c>
      <c r="BI46" s="38"/>
      <c r="BJ46" s="38"/>
      <c r="BK46" s="38">
        <f t="shared" si="13"/>
        <v>1000.62</v>
      </c>
      <c r="BL46" s="365" t="s">
        <v>56</v>
      </c>
      <c r="BM46" s="334"/>
      <c r="BN46" s="334"/>
      <c r="BO46" s="32" t="s">
        <v>398</v>
      </c>
      <c r="BP46" s="67">
        <v>1000.62</v>
      </c>
      <c r="BQ46" s="67"/>
      <c r="BR46" s="67"/>
      <c r="BS46" s="67"/>
      <c r="BT46" s="67"/>
      <c r="BU46" s="67"/>
      <c r="BV46" s="67"/>
      <c r="BW46" s="106" t="s">
        <v>399</v>
      </c>
      <c r="BX46" s="107">
        <v>1000.62</v>
      </c>
      <c r="BY46" s="96"/>
      <c r="BZ46" s="96"/>
      <c r="CA46" s="96"/>
      <c r="CB46" s="96"/>
      <c r="CC46" s="9" t="s">
        <v>448</v>
      </c>
      <c r="CD46" s="72">
        <f>+BX46</f>
        <v>1000.62</v>
      </c>
      <c r="CE46" s="72">
        <v>1000.62</v>
      </c>
      <c r="CF46" s="781">
        <f t="shared" si="14"/>
        <v>0</v>
      </c>
      <c r="CG46" s="419" t="s">
        <v>544</v>
      </c>
      <c r="CH46" s="419" t="s">
        <v>544</v>
      </c>
      <c r="CI46" s="419" t="s">
        <v>544</v>
      </c>
      <c r="CJ46" s="419"/>
      <c r="CK46" s="61">
        <v>45665</v>
      </c>
      <c r="CL46" s="61">
        <v>45666</v>
      </c>
      <c r="CM46" s="8" t="s">
        <v>333</v>
      </c>
      <c r="CN46" s="9" t="s">
        <v>337</v>
      </c>
      <c r="CO46" s="9" t="s">
        <v>342</v>
      </c>
      <c r="CP46" s="9" t="str">
        <f>+CM46</f>
        <v>EDISON STALIN MEDINA ARIAS</v>
      </c>
      <c r="CQ46" s="9" t="s">
        <v>469</v>
      </c>
      <c r="CR46" s="9" t="s">
        <v>440</v>
      </c>
    </row>
    <row r="47" spans="1:96" s="30" customFormat="1" ht="212.4" customHeight="1" x14ac:dyDescent="0.3">
      <c r="A47" s="4" t="s">
        <v>907</v>
      </c>
      <c r="B47" s="5" t="s">
        <v>90</v>
      </c>
      <c r="C47" s="5" t="s">
        <v>91</v>
      </c>
      <c r="D47" s="5" t="s">
        <v>92</v>
      </c>
      <c r="E47" s="24" t="s">
        <v>118</v>
      </c>
      <c r="F47" s="24" t="s">
        <v>119</v>
      </c>
      <c r="G47" s="15" t="s">
        <v>122</v>
      </c>
      <c r="H47" s="14" t="s">
        <v>44</v>
      </c>
      <c r="I47" s="14" t="s">
        <v>904</v>
      </c>
      <c r="J47" s="9" t="s">
        <v>96</v>
      </c>
      <c r="K47" s="10">
        <v>2025</v>
      </c>
      <c r="L47" s="26" t="s">
        <v>46</v>
      </c>
      <c r="M47" s="11" t="s">
        <v>47</v>
      </c>
      <c r="N47" s="11" t="s">
        <v>47</v>
      </c>
      <c r="O47" s="4">
        <v>58</v>
      </c>
      <c r="P47" s="4" t="s">
        <v>123</v>
      </c>
      <c r="Q47" s="27"/>
      <c r="R47" s="14" t="s">
        <v>48</v>
      </c>
      <c r="S47" s="15" t="s">
        <v>49</v>
      </c>
      <c r="T47" s="15" t="s">
        <v>50</v>
      </c>
      <c r="U47" s="9" t="s">
        <v>51</v>
      </c>
      <c r="V47" s="9" t="s">
        <v>52</v>
      </c>
      <c r="W47" s="9" t="s">
        <v>53</v>
      </c>
      <c r="X47" s="9" t="s">
        <v>54</v>
      </c>
      <c r="Y47" s="16" t="s">
        <v>55</v>
      </c>
      <c r="Z47" s="28">
        <v>34000</v>
      </c>
      <c r="AA47" s="56"/>
      <c r="AB47" s="56">
        <v>1</v>
      </c>
      <c r="AC47" s="56"/>
      <c r="AD47" s="29">
        <f t="shared" si="23"/>
        <v>1</v>
      </c>
      <c r="AE47" s="68"/>
      <c r="AF47" s="68">
        <v>34000</v>
      </c>
      <c r="AG47" s="68"/>
      <c r="AH47" s="38">
        <f t="shared" si="1"/>
        <v>34000</v>
      </c>
      <c r="AI47" s="68"/>
      <c r="AJ47" s="68"/>
      <c r="AK47" s="360"/>
      <c r="AL47" s="360"/>
      <c r="AM47" s="74">
        <f t="shared" si="41"/>
        <v>34000</v>
      </c>
      <c r="AN47" s="68"/>
      <c r="AO47" s="68"/>
      <c r="AP47" s="74">
        <f t="shared" si="24"/>
        <v>34000</v>
      </c>
      <c r="AQ47" s="68"/>
      <c r="AR47" s="68"/>
      <c r="AS47" s="74">
        <f t="shared" si="25"/>
        <v>34000</v>
      </c>
      <c r="AT47" s="38"/>
      <c r="AU47" s="38"/>
      <c r="AV47" s="38">
        <f t="shared" si="26"/>
        <v>34000</v>
      </c>
      <c r="AW47" s="38"/>
      <c r="AX47" s="38"/>
      <c r="AY47" s="38">
        <f t="shared" si="42"/>
        <v>34000</v>
      </c>
      <c r="AZ47" s="38"/>
      <c r="BA47" s="38"/>
      <c r="BB47" s="38">
        <f t="shared" si="43"/>
        <v>34000</v>
      </c>
      <c r="BC47" s="74"/>
      <c r="BD47" s="74"/>
      <c r="BE47" s="38">
        <f t="shared" si="11"/>
        <v>34000</v>
      </c>
      <c r="BF47" s="38"/>
      <c r="BG47" s="38"/>
      <c r="BH47" s="38">
        <f t="shared" si="12"/>
        <v>34000</v>
      </c>
      <c r="BI47" s="38"/>
      <c r="BJ47" s="38"/>
      <c r="BK47" s="38">
        <f t="shared" si="13"/>
        <v>34000</v>
      </c>
      <c r="BL47" s="365" t="s">
        <v>56</v>
      </c>
      <c r="BM47" s="334"/>
      <c r="BN47" s="334"/>
      <c r="BO47" s="32" t="s">
        <v>400</v>
      </c>
      <c r="BP47" s="114">
        <v>33183.79</v>
      </c>
      <c r="BQ47" s="114"/>
      <c r="BR47" s="32"/>
      <c r="BS47" s="32"/>
      <c r="BT47" s="32"/>
      <c r="BU47" s="32"/>
      <c r="BV47" s="32"/>
      <c r="BW47" s="109" t="s">
        <v>519</v>
      </c>
      <c r="BX47" s="114">
        <v>33183.79</v>
      </c>
      <c r="BY47" s="98"/>
      <c r="BZ47" s="98"/>
      <c r="CA47" s="98"/>
      <c r="CB47" s="98"/>
      <c r="CC47" s="9" t="s">
        <v>535</v>
      </c>
      <c r="CD47" s="72">
        <v>30502.12</v>
      </c>
      <c r="CE47" s="72">
        <v>30502.12</v>
      </c>
      <c r="CF47" s="781">
        <f t="shared" si="14"/>
        <v>0</v>
      </c>
      <c r="CG47" s="419" t="s">
        <v>544</v>
      </c>
      <c r="CH47" s="419" t="s">
        <v>544</v>
      </c>
      <c r="CI47" s="419" t="s">
        <v>544</v>
      </c>
      <c r="CJ47" s="419"/>
      <c r="CK47" s="61">
        <v>45748</v>
      </c>
      <c r="CL47" s="61">
        <v>45762</v>
      </c>
      <c r="CM47" s="8" t="s">
        <v>343</v>
      </c>
      <c r="CN47" s="9" t="s">
        <v>345</v>
      </c>
      <c r="CO47" s="9" t="s">
        <v>346</v>
      </c>
      <c r="CP47" s="9" t="s">
        <v>333</v>
      </c>
      <c r="CQ47" s="9"/>
      <c r="CR47" s="9"/>
    </row>
    <row r="48" spans="1:96" s="30" customFormat="1" ht="244.2" customHeight="1" x14ac:dyDescent="0.3">
      <c r="A48" s="4" t="s">
        <v>907</v>
      </c>
      <c r="B48" s="5" t="s">
        <v>90</v>
      </c>
      <c r="C48" s="5" t="s">
        <v>91</v>
      </c>
      <c r="D48" s="5" t="s">
        <v>92</v>
      </c>
      <c r="E48" s="24" t="s">
        <v>118</v>
      </c>
      <c r="F48" s="24" t="s">
        <v>119</v>
      </c>
      <c r="G48" s="15" t="s">
        <v>124</v>
      </c>
      <c r="H48" s="14" t="s">
        <v>44</v>
      </c>
      <c r="I48" s="14" t="s">
        <v>904</v>
      </c>
      <c r="J48" s="9" t="s">
        <v>96</v>
      </c>
      <c r="K48" s="10">
        <v>2025</v>
      </c>
      <c r="L48" s="26" t="s">
        <v>46</v>
      </c>
      <c r="M48" s="11" t="s">
        <v>47</v>
      </c>
      <c r="N48" s="11" t="s">
        <v>47</v>
      </c>
      <c r="O48" s="4" t="s">
        <v>125</v>
      </c>
      <c r="P48" s="4" t="s">
        <v>126</v>
      </c>
      <c r="Q48" s="27"/>
      <c r="R48" s="14" t="s">
        <v>48</v>
      </c>
      <c r="S48" s="15" t="s">
        <v>49</v>
      </c>
      <c r="T48" s="15" t="s">
        <v>50</v>
      </c>
      <c r="U48" s="9" t="s">
        <v>51</v>
      </c>
      <c r="V48" s="9" t="s">
        <v>52</v>
      </c>
      <c r="W48" s="9" t="s">
        <v>53</v>
      </c>
      <c r="X48" s="9" t="s">
        <v>54</v>
      </c>
      <c r="Y48" s="16" t="s">
        <v>55</v>
      </c>
      <c r="Z48" s="31">
        <v>10000</v>
      </c>
      <c r="AA48" s="55"/>
      <c r="AB48" s="55"/>
      <c r="AC48" s="55">
        <v>1</v>
      </c>
      <c r="AD48" s="18">
        <f t="shared" si="23"/>
        <v>1</v>
      </c>
      <c r="AE48" s="38"/>
      <c r="AF48" s="38"/>
      <c r="AG48" s="38">
        <v>10000</v>
      </c>
      <c r="AH48" s="38">
        <f t="shared" si="1"/>
        <v>10000</v>
      </c>
      <c r="AI48" s="38"/>
      <c r="AJ48" s="38"/>
      <c r="AK48" s="359"/>
      <c r="AL48" s="359"/>
      <c r="AM48" s="74">
        <f t="shared" si="41"/>
        <v>10000</v>
      </c>
      <c r="AN48" s="38"/>
      <c r="AO48" s="38"/>
      <c r="AP48" s="74">
        <f t="shared" si="24"/>
        <v>10000</v>
      </c>
      <c r="AQ48" s="38"/>
      <c r="AR48" s="38"/>
      <c r="AS48" s="74">
        <f t="shared" si="25"/>
        <v>10000</v>
      </c>
      <c r="AT48" s="38"/>
      <c r="AU48" s="38"/>
      <c r="AV48" s="38">
        <f t="shared" si="26"/>
        <v>10000</v>
      </c>
      <c r="AW48" s="38"/>
      <c r="AX48" s="38"/>
      <c r="AY48" s="38">
        <f t="shared" si="42"/>
        <v>10000</v>
      </c>
      <c r="AZ48" s="38"/>
      <c r="BA48" s="38"/>
      <c r="BB48" s="38">
        <f t="shared" si="43"/>
        <v>10000</v>
      </c>
      <c r="BC48" s="74"/>
      <c r="BD48" s="74"/>
      <c r="BE48" s="38">
        <f t="shared" si="11"/>
        <v>10000</v>
      </c>
      <c r="BF48" s="38"/>
      <c r="BG48" s="38"/>
      <c r="BH48" s="38">
        <f t="shared" si="12"/>
        <v>10000</v>
      </c>
      <c r="BI48" s="38"/>
      <c r="BJ48" s="38"/>
      <c r="BK48" s="38">
        <f t="shared" si="13"/>
        <v>10000</v>
      </c>
      <c r="BL48" s="365" t="s">
        <v>56</v>
      </c>
      <c r="BM48" s="334"/>
      <c r="BN48" s="334"/>
      <c r="BO48" s="32" t="s">
        <v>1056</v>
      </c>
      <c r="BP48" s="72">
        <v>9800</v>
      </c>
      <c r="BQ48" s="72"/>
      <c r="BR48" s="32"/>
      <c r="BS48" s="32"/>
      <c r="BT48" s="32"/>
      <c r="BU48" s="32"/>
      <c r="BV48" s="32"/>
      <c r="BW48" s="32" t="s">
        <v>1068</v>
      </c>
      <c r="BX48" s="72">
        <v>9800</v>
      </c>
      <c r="BY48" s="98"/>
      <c r="BZ48" s="98"/>
      <c r="CA48" s="98"/>
      <c r="CB48" s="98"/>
      <c r="CC48" s="32" t="s">
        <v>1118</v>
      </c>
      <c r="CD48" s="72">
        <f>9800-9800+9800</f>
        <v>9800</v>
      </c>
      <c r="CE48" s="72">
        <f>9800-9800+9800</f>
        <v>9800</v>
      </c>
      <c r="CF48" s="781">
        <f t="shared" si="14"/>
        <v>0</v>
      </c>
      <c r="CG48" s="135" t="s">
        <v>890</v>
      </c>
      <c r="CH48" s="413">
        <v>0.3</v>
      </c>
      <c r="CI48" s="423">
        <v>45950</v>
      </c>
      <c r="CJ48" s="524" t="s">
        <v>440</v>
      </c>
      <c r="CK48" s="61">
        <v>45901</v>
      </c>
      <c r="CL48" s="61">
        <v>45915</v>
      </c>
      <c r="CM48" s="9" t="s">
        <v>333</v>
      </c>
      <c r="CN48" s="9" t="s">
        <v>335</v>
      </c>
      <c r="CO48" s="9" t="s">
        <v>347</v>
      </c>
      <c r="CP48" s="9" t="str">
        <f>+CM48</f>
        <v>EDISON STALIN MEDINA ARIAS</v>
      </c>
      <c r="CQ48" s="9"/>
      <c r="CR48" s="9"/>
    </row>
    <row r="49" spans="1:96" s="30" customFormat="1" ht="113.1" customHeight="1" x14ac:dyDescent="0.3">
      <c r="A49" s="4" t="s">
        <v>907</v>
      </c>
      <c r="B49" s="5" t="s">
        <v>90</v>
      </c>
      <c r="C49" s="5" t="s">
        <v>91</v>
      </c>
      <c r="D49" s="5" t="s">
        <v>92</v>
      </c>
      <c r="E49" s="8" t="s">
        <v>118</v>
      </c>
      <c r="F49" s="8" t="s">
        <v>119</v>
      </c>
      <c r="G49" s="15" t="s">
        <v>127</v>
      </c>
      <c r="H49" s="14" t="s">
        <v>44</v>
      </c>
      <c r="I49" s="14" t="s">
        <v>904</v>
      </c>
      <c r="J49" s="9" t="s">
        <v>96</v>
      </c>
      <c r="K49" s="10">
        <v>2025</v>
      </c>
      <c r="L49" s="26" t="s">
        <v>46</v>
      </c>
      <c r="M49" s="11" t="s">
        <v>47</v>
      </c>
      <c r="N49" s="11" t="s">
        <v>47</v>
      </c>
      <c r="O49" s="4" t="s">
        <v>45</v>
      </c>
      <c r="P49" s="4" t="s">
        <v>45</v>
      </c>
      <c r="Q49" s="27"/>
      <c r="R49" s="14" t="s">
        <v>48</v>
      </c>
      <c r="S49" s="15" t="s">
        <v>49</v>
      </c>
      <c r="T49" s="15" t="s">
        <v>50</v>
      </c>
      <c r="U49" s="9" t="s">
        <v>51</v>
      </c>
      <c r="V49" s="9" t="s">
        <v>52</v>
      </c>
      <c r="W49" s="9" t="s">
        <v>53</v>
      </c>
      <c r="X49" s="9" t="s">
        <v>54</v>
      </c>
      <c r="Y49" s="16" t="s">
        <v>55</v>
      </c>
      <c r="Z49" s="31">
        <v>3000</v>
      </c>
      <c r="AA49" s="55">
        <v>0.33329999999999999</v>
      </c>
      <c r="AB49" s="55">
        <v>0.33329999999999999</v>
      </c>
      <c r="AC49" s="55">
        <v>0.33329999999999999</v>
      </c>
      <c r="AD49" s="18">
        <f t="shared" si="23"/>
        <v>0.99990000000000001</v>
      </c>
      <c r="AE49" s="38">
        <v>1000</v>
      </c>
      <c r="AF49" s="38">
        <v>1000</v>
      </c>
      <c r="AG49" s="38">
        <v>1000</v>
      </c>
      <c r="AH49" s="38">
        <f t="shared" si="1"/>
        <v>3000</v>
      </c>
      <c r="AI49" s="38"/>
      <c r="AJ49" s="38"/>
      <c r="AK49" s="359"/>
      <c r="AL49" s="359"/>
      <c r="AM49" s="74">
        <f t="shared" si="41"/>
        <v>3000</v>
      </c>
      <c r="AN49" s="38"/>
      <c r="AO49" s="38"/>
      <c r="AP49" s="74">
        <f t="shared" si="24"/>
        <v>3000</v>
      </c>
      <c r="AQ49" s="38"/>
      <c r="AR49" s="38"/>
      <c r="AS49" s="74">
        <f t="shared" si="25"/>
        <v>3000</v>
      </c>
      <c r="AT49" s="38"/>
      <c r="AU49" s="38"/>
      <c r="AV49" s="38">
        <f t="shared" si="26"/>
        <v>3000</v>
      </c>
      <c r="AW49" s="38"/>
      <c r="AX49" s="38"/>
      <c r="AY49" s="38">
        <f t="shared" si="42"/>
        <v>3000</v>
      </c>
      <c r="AZ49" s="38"/>
      <c r="BA49" s="38"/>
      <c r="BB49" s="38">
        <f t="shared" si="43"/>
        <v>3000</v>
      </c>
      <c r="BC49" s="74"/>
      <c r="BD49" s="74"/>
      <c r="BE49" s="38">
        <f t="shared" si="11"/>
        <v>3000</v>
      </c>
      <c r="BF49" s="38"/>
      <c r="BG49" s="38"/>
      <c r="BH49" s="38">
        <f t="shared" si="12"/>
        <v>3000</v>
      </c>
      <c r="BI49" s="38"/>
      <c r="BJ49" s="38"/>
      <c r="BK49" s="38">
        <f t="shared" si="13"/>
        <v>3000</v>
      </c>
      <c r="BL49" s="365" t="s">
        <v>56</v>
      </c>
      <c r="BM49" s="334"/>
      <c r="BN49" s="334"/>
      <c r="BO49" s="32" t="s">
        <v>487</v>
      </c>
      <c r="BP49" s="32">
        <v>696.79</v>
      </c>
      <c r="BQ49" s="32"/>
      <c r="BR49" s="32"/>
      <c r="BS49" s="32"/>
      <c r="BT49" s="32"/>
      <c r="BU49" s="32"/>
      <c r="BV49" s="32"/>
      <c r="BW49" s="109" t="s">
        <v>488</v>
      </c>
      <c r="BX49" s="109">
        <v>696.79</v>
      </c>
      <c r="BY49" s="98"/>
      <c r="BZ49" s="98"/>
      <c r="CA49" s="98"/>
      <c r="CB49" s="98"/>
      <c r="CC49" s="9" t="s">
        <v>496</v>
      </c>
      <c r="CD49" s="72">
        <v>696.79</v>
      </c>
      <c r="CE49" s="72">
        <v>696.79</v>
      </c>
      <c r="CF49" s="781">
        <f t="shared" si="14"/>
        <v>0</v>
      </c>
      <c r="CG49" s="419" t="s">
        <v>45</v>
      </c>
      <c r="CH49" s="419" t="s">
        <v>45</v>
      </c>
      <c r="CI49" s="419" t="s">
        <v>45</v>
      </c>
      <c r="CJ49" s="419"/>
      <c r="CK49" s="10" t="s">
        <v>45</v>
      </c>
      <c r="CL49" s="10" t="s">
        <v>45</v>
      </c>
      <c r="CM49" s="9" t="s">
        <v>45</v>
      </c>
      <c r="CN49" s="9" t="s">
        <v>45</v>
      </c>
      <c r="CO49" s="9" t="s">
        <v>45</v>
      </c>
      <c r="CP49" s="9" t="s">
        <v>45</v>
      </c>
      <c r="CQ49" s="9" t="s">
        <v>45</v>
      </c>
      <c r="CR49" s="9" t="s">
        <v>45</v>
      </c>
    </row>
    <row r="50" spans="1:96" s="30" customFormat="1" ht="129.6" customHeight="1" x14ac:dyDescent="0.3">
      <c r="A50" s="4" t="s">
        <v>907</v>
      </c>
      <c r="B50" s="5" t="s">
        <v>90</v>
      </c>
      <c r="C50" s="5" t="s">
        <v>91</v>
      </c>
      <c r="D50" s="5" t="s">
        <v>92</v>
      </c>
      <c r="E50" s="8" t="s">
        <v>118</v>
      </c>
      <c r="F50" s="8" t="s">
        <v>119</v>
      </c>
      <c r="G50" s="15" t="s">
        <v>128</v>
      </c>
      <c r="H50" s="14" t="s">
        <v>44</v>
      </c>
      <c r="I50" s="14" t="s">
        <v>904</v>
      </c>
      <c r="J50" s="9" t="s">
        <v>96</v>
      </c>
      <c r="K50" s="10">
        <v>2025</v>
      </c>
      <c r="L50" s="26" t="s">
        <v>46</v>
      </c>
      <c r="M50" s="11" t="s">
        <v>47</v>
      </c>
      <c r="N50" s="11" t="s">
        <v>47</v>
      </c>
      <c r="O50" s="4" t="s">
        <v>45</v>
      </c>
      <c r="P50" s="4" t="s">
        <v>45</v>
      </c>
      <c r="Q50" s="27"/>
      <c r="R50" s="14" t="s">
        <v>48</v>
      </c>
      <c r="S50" s="15" t="s">
        <v>49</v>
      </c>
      <c r="T50" s="15" t="s">
        <v>50</v>
      </c>
      <c r="U50" s="9" t="s">
        <v>51</v>
      </c>
      <c r="V50" s="9" t="s">
        <v>52</v>
      </c>
      <c r="W50" s="9" t="s">
        <v>53</v>
      </c>
      <c r="X50" s="9" t="s">
        <v>54</v>
      </c>
      <c r="Y50" s="16" t="s">
        <v>55</v>
      </c>
      <c r="Z50" s="31">
        <v>500</v>
      </c>
      <c r="AA50" s="55">
        <v>0.33329999999999999</v>
      </c>
      <c r="AB50" s="55">
        <v>0.33329999999999999</v>
      </c>
      <c r="AC50" s="55">
        <v>0.33329999999999999</v>
      </c>
      <c r="AD50" s="18">
        <f t="shared" si="23"/>
        <v>0.99990000000000001</v>
      </c>
      <c r="AE50" s="38">
        <v>166.46</v>
      </c>
      <c r="AF50" s="38">
        <v>166.46</v>
      </c>
      <c r="AG50" s="38">
        <v>166.46</v>
      </c>
      <c r="AH50" s="38">
        <f t="shared" si="1"/>
        <v>499.38</v>
      </c>
      <c r="AI50" s="38"/>
      <c r="AJ50" s="38">
        <v>0.62</v>
      </c>
      <c r="AK50" s="74"/>
      <c r="AL50" s="74"/>
      <c r="AM50" s="74">
        <f t="shared" si="41"/>
        <v>499.38</v>
      </c>
      <c r="AN50" s="38"/>
      <c r="AO50" s="38"/>
      <c r="AP50" s="74">
        <f t="shared" si="24"/>
        <v>499.38</v>
      </c>
      <c r="AQ50" s="38"/>
      <c r="AR50" s="38"/>
      <c r="AS50" s="74">
        <f t="shared" si="25"/>
        <v>499.38</v>
      </c>
      <c r="AT50" s="38"/>
      <c r="AU50" s="38"/>
      <c r="AV50" s="38">
        <f t="shared" si="26"/>
        <v>499.38</v>
      </c>
      <c r="AW50" s="38"/>
      <c r="AX50" s="38"/>
      <c r="AY50" s="38">
        <f t="shared" si="42"/>
        <v>499.38</v>
      </c>
      <c r="AZ50" s="38"/>
      <c r="BA50" s="38"/>
      <c r="BB50" s="38">
        <f t="shared" si="43"/>
        <v>499.38</v>
      </c>
      <c r="BC50" s="74"/>
      <c r="BD50" s="74"/>
      <c r="BE50" s="38">
        <f t="shared" si="11"/>
        <v>499.38</v>
      </c>
      <c r="BF50" s="38"/>
      <c r="BG50" s="38"/>
      <c r="BH50" s="38">
        <f t="shared" si="12"/>
        <v>499.38</v>
      </c>
      <c r="BI50" s="38"/>
      <c r="BJ50" s="38"/>
      <c r="BK50" s="38">
        <f t="shared" si="13"/>
        <v>499.38</v>
      </c>
      <c r="BL50" s="365" t="s">
        <v>56</v>
      </c>
      <c r="BM50" s="334"/>
      <c r="BN50" s="334"/>
      <c r="BO50" s="32"/>
      <c r="BP50" s="32"/>
      <c r="BQ50" s="32"/>
      <c r="BR50" s="32"/>
      <c r="BS50" s="32"/>
      <c r="BT50" s="32"/>
      <c r="BU50" s="32"/>
      <c r="BV50" s="32"/>
      <c r="BW50" s="98"/>
      <c r="BX50" s="98"/>
      <c r="BY50" s="98"/>
      <c r="BZ50" s="98"/>
      <c r="CA50" s="98"/>
      <c r="CB50" s="98"/>
      <c r="CC50" s="97"/>
      <c r="CD50" s="101"/>
      <c r="CE50" s="101"/>
      <c r="CF50" s="781">
        <f t="shared" si="14"/>
        <v>0</v>
      </c>
      <c r="CG50" s="419" t="s">
        <v>45</v>
      </c>
      <c r="CH50" s="133" t="s">
        <v>45</v>
      </c>
      <c r="CI50" s="411" t="s">
        <v>45</v>
      </c>
      <c r="CJ50" s="411"/>
      <c r="CK50" s="10" t="s">
        <v>45</v>
      </c>
      <c r="CL50" s="10" t="s">
        <v>45</v>
      </c>
      <c r="CM50" s="9" t="s">
        <v>45</v>
      </c>
      <c r="CN50" s="9" t="s">
        <v>45</v>
      </c>
      <c r="CO50" s="9" t="s">
        <v>45</v>
      </c>
      <c r="CP50" s="9" t="s">
        <v>45</v>
      </c>
      <c r="CQ50" s="9" t="s">
        <v>45</v>
      </c>
      <c r="CR50" s="9" t="s">
        <v>45</v>
      </c>
    </row>
    <row r="51" spans="1:96" s="19" customFormat="1" ht="180.6" customHeight="1" x14ac:dyDescent="0.3">
      <c r="A51" s="4" t="s">
        <v>907</v>
      </c>
      <c r="B51" s="5" t="s">
        <v>90</v>
      </c>
      <c r="C51" s="8" t="s">
        <v>91</v>
      </c>
      <c r="D51" s="5" t="s">
        <v>92</v>
      </c>
      <c r="E51" s="331" t="s">
        <v>129</v>
      </c>
      <c r="F51" s="6" t="s">
        <v>130</v>
      </c>
      <c r="G51" s="326" t="s">
        <v>131</v>
      </c>
      <c r="H51" s="14" t="s">
        <v>132</v>
      </c>
      <c r="I51" s="14" t="s">
        <v>904</v>
      </c>
      <c r="J51" s="32" t="s">
        <v>96</v>
      </c>
      <c r="K51" s="10">
        <v>2025</v>
      </c>
      <c r="L51" s="11" t="s">
        <v>46</v>
      </c>
      <c r="M51" s="11" t="s">
        <v>47</v>
      </c>
      <c r="N51" s="11" t="s">
        <v>47</v>
      </c>
      <c r="O51" s="4" t="s">
        <v>45</v>
      </c>
      <c r="P51" s="4" t="s">
        <v>45</v>
      </c>
      <c r="Q51" s="13"/>
      <c r="R51" s="14" t="s">
        <v>48</v>
      </c>
      <c r="S51" s="15" t="s">
        <v>49</v>
      </c>
      <c r="T51" s="15" t="s">
        <v>50</v>
      </c>
      <c r="U51" s="9" t="s">
        <v>51</v>
      </c>
      <c r="V51" s="9" t="s">
        <v>52</v>
      </c>
      <c r="W51" s="9" t="s">
        <v>53</v>
      </c>
      <c r="X51" s="9" t="s">
        <v>54</v>
      </c>
      <c r="Y51" s="16" t="s">
        <v>55</v>
      </c>
      <c r="Z51" s="21">
        <v>600</v>
      </c>
      <c r="AA51" s="54">
        <f>100%/3</f>
        <v>0.33333333333333331</v>
      </c>
      <c r="AB51" s="54">
        <v>0.33333333333333331</v>
      </c>
      <c r="AC51" s="54">
        <v>0.33333333333333331</v>
      </c>
      <c r="AD51" s="18">
        <f t="shared" si="23"/>
        <v>1</v>
      </c>
      <c r="AE51" s="38">
        <v>200</v>
      </c>
      <c r="AF51" s="38">
        <v>200</v>
      </c>
      <c r="AG51" s="38">
        <v>200</v>
      </c>
      <c r="AH51" s="38">
        <f t="shared" si="1"/>
        <v>600</v>
      </c>
      <c r="AI51" s="38"/>
      <c r="AJ51" s="38"/>
      <c r="AK51" s="359"/>
      <c r="AL51" s="359"/>
      <c r="AM51" s="74">
        <f t="shared" si="41"/>
        <v>600</v>
      </c>
      <c r="AN51" s="38"/>
      <c r="AO51" s="38"/>
      <c r="AP51" s="74">
        <f t="shared" si="24"/>
        <v>600</v>
      </c>
      <c r="AQ51" s="38"/>
      <c r="AR51" s="38"/>
      <c r="AS51" s="74">
        <f t="shared" si="25"/>
        <v>600</v>
      </c>
      <c r="AT51" s="38"/>
      <c r="AU51" s="38"/>
      <c r="AV51" s="38">
        <f t="shared" si="26"/>
        <v>600</v>
      </c>
      <c r="AW51" s="38"/>
      <c r="AX51" s="38"/>
      <c r="AY51" s="38">
        <f t="shared" si="42"/>
        <v>600</v>
      </c>
      <c r="AZ51" s="38"/>
      <c r="BA51" s="38"/>
      <c r="BB51" s="38">
        <f t="shared" si="43"/>
        <v>600</v>
      </c>
      <c r="BC51" s="74"/>
      <c r="BD51" s="74"/>
      <c r="BE51" s="38">
        <f t="shared" si="11"/>
        <v>600</v>
      </c>
      <c r="BF51" s="38"/>
      <c r="BG51" s="38"/>
      <c r="BH51" s="38">
        <f t="shared" si="12"/>
        <v>600</v>
      </c>
      <c r="BI51" s="38"/>
      <c r="BJ51" s="38"/>
      <c r="BK51" s="38">
        <f t="shared" si="13"/>
        <v>600</v>
      </c>
      <c r="BL51" s="337" t="s">
        <v>56</v>
      </c>
      <c r="BM51" s="131"/>
      <c r="BN51" s="131"/>
      <c r="BO51" s="32" t="s">
        <v>385</v>
      </c>
      <c r="BP51" s="34">
        <v>571.84</v>
      </c>
      <c r="BQ51" s="34"/>
      <c r="BR51" s="34"/>
      <c r="BS51" s="34"/>
      <c r="BT51" s="34"/>
      <c r="BU51" s="34"/>
      <c r="BV51" s="34"/>
      <c r="BW51" s="34" t="s">
        <v>387</v>
      </c>
      <c r="BX51" s="34">
        <v>571.84</v>
      </c>
      <c r="BY51" s="95"/>
      <c r="BZ51" s="95"/>
      <c r="CA51" s="95"/>
      <c r="CB51" s="95"/>
      <c r="CC51" s="9" t="s">
        <v>1082</v>
      </c>
      <c r="CD51" s="67">
        <f>34.82+31.46+22.34+17.59+21.91+49.94+29.06+38.9+37.22+31.46+30.5+25.02</f>
        <v>370.21999999999997</v>
      </c>
      <c r="CE51" s="67">
        <f>34.82+31.46+22.34+17.59+21.91+49.94+29.06+38.9+37.22+31.46+30.5+25.02</f>
        <v>370.21999999999997</v>
      </c>
      <c r="CF51" s="781">
        <f t="shared" si="14"/>
        <v>0</v>
      </c>
      <c r="CG51" s="419" t="s">
        <v>544</v>
      </c>
      <c r="CH51" s="419" t="s">
        <v>544</v>
      </c>
      <c r="CI51" s="419" t="s">
        <v>544</v>
      </c>
      <c r="CJ51" s="419"/>
      <c r="CK51" s="10" t="s">
        <v>45</v>
      </c>
      <c r="CL51" s="10" t="s">
        <v>45</v>
      </c>
      <c r="CM51" s="9" t="s">
        <v>45</v>
      </c>
      <c r="CN51" s="9" t="s">
        <v>45</v>
      </c>
      <c r="CO51" s="9" t="s">
        <v>45</v>
      </c>
      <c r="CP51" s="9" t="s">
        <v>45</v>
      </c>
      <c r="CQ51" s="9" t="s">
        <v>45</v>
      </c>
      <c r="CR51" s="9" t="s">
        <v>45</v>
      </c>
    </row>
    <row r="52" spans="1:96" s="19" customFormat="1" ht="153.6" customHeight="1" x14ac:dyDescent="0.3">
      <c r="A52" s="4" t="s">
        <v>907</v>
      </c>
      <c r="B52" s="5" t="s">
        <v>90</v>
      </c>
      <c r="C52" s="8" t="s">
        <v>91</v>
      </c>
      <c r="D52" s="5" t="s">
        <v>92</v>
      </c>
      <c r="E52" s="331" t="s">
        <v>133</v>
      </c>
      <c r="F52" s="6" t="s">
        <v>134</v>
      </c>
      <c r="G52" s="326" t="s">
        <v>135</v>
      </c>
      <c r="H52" s="14" t="s">
        <v>132</v>
      </c>
      <c r="I52" s="14" t="s">
        <v>904</v>
      </c>
      <c r="J52" s="32" t="s">
        <v>96</v>
      </c>
      <c r="K52" s="10">
        <v>2025</v>
      </c>
      <c r="L52" s="11" t="s">
        <v>46</v>
      </c>
      <c r="M52" s="11" t="s">
        <v>47</v>
      </c>
      <c r="N52" s="11" t="s">
        <v>47</v>
      </c>
      <c r="O52" s="4" t="s">
        <v>45</v>
      </c>
      <c r="P52" s="4" t="s">
        <v>45</v>
      </c>
      <c r="Q52" s="13"/>
      <c r="R52" s="14" t="s">
        <v>48</v>
      </c>
      <c r="S52" s="15" t="s">
        <v>49</v>
      </c>
      <c r="T52" s="15" t="s">
        <v>50</v>
      </c>
      <c r="U52" s="9" t="s">
        <v>51</v>
      </c>
      <c r="V52" s="9" t="s">
        <v>52</v>
      </c>
      <c r="W52" s="9" t="s">
        <v>53</v>
      </c>
      <c r="X52" s="9" t="s">
        <v>54</v>
      </c>
      <c r="Y52" s="16" t="s">
        <v>55</v>
      </c>
      <c r="Z52" s="21">
        <v>3560</v>
      </c>
      <c r="AA52" s="54">
        <f>100%/3</f>
        <v>0.33333333333333331</v>
      </c>
      <c r="AB52" s="54">
        <v>0.33333333333333331</v>
      </c>
      <c r="AC52" s="54">
        <v>0.33333333333333331</v>
      </c>
      <c r="AD52" s="18">
        <f t="shared" si="23"/>
        <v>1</v>
      </c>
      <c r="AE52" s="38">
        <v>1186.6666666666667</v>
      </c>
      <c r="AF52" s="38">
        <v>1186.6666666666667</v>
      </c>
      <c r="AG52" s="38">
        <v>1186.6666666666667</v>
      </c>
      <c r="AH52" s="38">
        <f t="shared" si="1"/>
        <v>3560</v>
      </c>
      <c r="AI52" s="38"/>
      <c r="AJ52" s="38"/>
      <c r="AK52" s="359"/>
      <c r="AL52" s="359"/>
      <c r="AM52" s="74">
        <f t="shared" si="41"/>
        <v>3560</v>
      </c>
      <c r="AN52" s="38"/>
      <c r="AO52" s="38"/>
      <c r="AP52" s="74">
        <f t="shared" si="24"/>
        <v>3560</v>
      </c>
      <c r="AQ52" s="38"/>
      <c r="AR52" s="38"/>
      <c r="AS52" s="74">
        <f t="shared" si="25"/>
        <v>3560</v>
      </c>
      <c r="AT52" s="38"/>
      <c r="AU52" s="38"/>
      <c r="AV52" s="38">
        <f t="shared" si="26"/>
        <v>3560</v>
      </c>
      <c r="AW52" s="38"/>
      <c r="AX52" s="38"/>
      <c r="AY52" s="38">
        <f t="shared" si="42"/>
        <v>3560</v>
      </c>
      <c r="AZ52" s="38"/>
      <c r="BA52" s="38"/>
      <c r="BB52" s="38">
        <f t="shared" si="43"/>
        <v>3560</v>
      </c>
      <c r="BC52" s="74"/>
      <c r="BD52" s="74"/>
      <c r="BE52" s="38">
        <f t="shared" si="11"/>
        <v>3560</v>
      </c>
      <c r="BF52" s="38"/>
      <c r="BG52" s="38"/>
      <c r="BH52" s="38">
        <f t="shared" si="12"/>
        <v>3560</v>
      </c>
      <c r="BI52" s="38">
        <v>800</v>
      </c>
      <c r="BJ52" s="38"/>
      <c r="BK52" s="38">
        <f t="shared" si="13"/>
        <v>4360</v>
      </c>
      <c r="BL52" s="337" t="s">
        <v>56</v>
      </c>
      <c r="BM52" s="131"/>
      <c r="BN52" s="131"/>
      <c r="BO52" s="32" t="s">
        <v>1085</v>
      </c>
      <c r="BP52" s="67">
        <f>383.36+3560</f>
        <v>3943.36</v>
      </c>
      <c r="BQ52" s="67"/>
      <c r="BR52" s="34"/>
      <c r="BS52" s="34"/>
      <c r="BT52" s="34"/>
      <c r="BU52" s="34"/>
      <c r="BV52" s="34"/>
      <c r="BW52" s="32" t="s">
        <v>1086</v>
      </c>
      <c r="BX52" s="67">
        <v>3560</v>
      </c>
      <c r="BY52" s="95"/>
      <c r="BZ52" s="95"/>
      <c r="CA52" s="95"/>
      <c r="CB52" s="95"/>
      <c r="CC52" s="9" t="s">
        <v>1116</v>
      </c>
      <c r="CD52" s="67">
        <f>383.36+750.8+293.03+298.57+223.24+303.95+18.51+296.62+289.34+300.33+248.89+298.04+211.97</f>
        <v>3916.6499999999996</v>
      </c>
      <c r="CE52" s="67">
        <f>383.36+750.8+293.03+298.57+223.24+303.95+18.51+296.62+289.34+300.33+248.89+298.04+211.97</f>
        <v>3916.6499999999996</v>
      </c>
      <c r="CF52" s="781">
        <f t="shared" si="14"/>
        <v>0</v>
      </c>
      <c r="CG52" s="419" t="s">
        <v>544</v>
      </c>
      <c r="CH52" s="419" t="s">
        <v>544</v>
      </c>
      <c r="CI52" s="419" t="s">
        <v>544</v>
      </c>
      <c r="CJ52" s="419"/>
      <c r="CK52" s="10" t="s">
        <v>45</v>
      </c>
      <c r="CL52" s="10" t="s">
        <v>45</v>
      </c>
      <c r="CM52" s="9" t="s">
        <v>45</v>
      </c>
      <c r="CN52" s="9" t="s">
        <v>45</v>
      </c>
      <c r="CO52" s="9" t="s">
        <v>45</v>
      </c>
      <c r="CP52" s="9" t="s">
        <v>45</v>
      </c>
      <c r="CQ52" s="9" t="s">
        <v>45</v>
      </c>
      <c r="CR52" s="9" t="s">
        <v>45</v>
      </c>
    </row>
    <row r="53" spans="1:96" s="19" customFormat="1" ht="135.6" customHeight="1" x14ac:dyDescent="0.3">
      <c r="A53" s="4" t="s">
        <v>907</v>
      </c>
      <c r="B53" s="5" t="s">
        <v>90</v>
      </c>
      <c r="C53" s="8" t="s">
        <v>91</v>
      </c>
      <c r="D53" s="5" t="s">
        <v>92</v>
      </c>
      <c r="E53" s="331" t="s">
        <v>136</v>
      </c>
      <c r="F53" s="6" t="s">
        <v>137</v>
      </c>
      <c r="G53" s="326" t="s">
        <v>138</v>
      </c>
      <c r="H53" s="14" t="s">
        <v>132</v>
      </c>
      <c r="I53" s="14" t="s">
        <v>904</v>
      </c>
      <c r="J53" s="32" t="s">
        <v>96</v>
      </c>
      <c r="K53" s="10">
        <v>2025</v>
      </c>
      <c r="L53" s="11" t="s">
        <v>46</v>
      </c>
      <c r="M53" s="11" t="s">
        <v>47</v>
      </c>
      <c r="N53" s="11" t="s">
        <v>47</v>
      </c>
      <c r="O53" s="4" t="s">
        <v>45</v>
      </c>
      <c r="P53" s="4" t="s">
        <v>45</v>
      </c>
      <c r="Q53" s="13"/>
      <c r="R53" s="14" t="s">
        <v>48</v>
      </c>
      <c r="S53" s="15" t="s">
        <v>49</v>
      </c>
      <c r="T53" s="15" t="s">
        <v>50</v>
      </c>
      <c r="U53" s="9" t="s">
        <v>51</v>
      </c>
      <c r="V53" s="9" t="s">
        <v>52</v>
      </c>
      <c r="W53" s="9" t="s">
        <v>53</v>
      </c>
      <c r="X53" s="9" t="s">
        <v>54</v>
      </c>
      <c r="Y53" s="16" t="s">
        <v>55</v>
      </c>
      <c r="Z53" s="21">
        <v>2740</v>
      </c>
      <c r="AA53" s="54">
        <f>100%/3</f>
        <v>0.33333333333333331</v>
      </c>
      <c r="AB53" s="54">
        <v>0.33333333333333331</v>
      </c>
      <c r="AC53" s="54">
        <v>0.33333333333333331</v>
      </c>
      <c r="AD53" s="18">
        <f t="shared" si="23"/>
        <v>1</v>
      </c>
      <c r="AE53" s="38">
        <v>913.33333333333337</v>
      </c>
      <c r="AF53" s="38">
        <v>913.33333333333337</v>
      </c>
      <c r="AG53" s="38">
        <v>913.33333333333337</v>
      </c>
      <c r="AH53" s="38">
        <f t="shared" si="1"/>
        <v>2740</v>
      </c>
      <c r="AI53" s="38"/>
      <c r="AJ53" s="38"/>
      <c r="AK53" s="359"/>
      <c r="AL53" s="359"/>
      <c r="AM53" s="74">
        <f t="shared" si="41"/>
        <v>2740</v>
      </c>
      <c r="AN53" s="38"/>
      <c r="AO53" s="38"/>
      <c r="AP53" s="74">
        <f t="shared" si="24"/>
        <v>2740</v>
      </c>
      <c r="AQ53" s="38"/>
      <c r="AR53" s="38"/>
      <c r="AS53" s="74">
        <f t="shared" si="25"/>
        <v>2740</v>
      </c>
      <c r="AT53" s="38"/>
      <c r="AU53" s="38"/>
      <c r="AV53" s="38">
        <f t="shared" si="26"/>
        <v>2740</v>
      </c>
      <c r="AW53" s="38"/>
      <c r="AX53" s="38"/>
      <c r="AY53" s="38">
        <f t="shared" si="42"/>
        <v>2740</v>
      </c>
      <c r="AZ53" s="38"/>
      <c r="BA53" s="38"/>
      <c r="BB53" s="38">
        <f t="shared" si="43"/>
        <v>2740</v>
      </c>
      <c r="BC53" s="74"/>
      <c r="BD53" s="74"/>
      <c r="BE53" s="38">
        <f t="shared" si="11"/>
        <v>2740</v>
      </c>
      <c r="BF53" s="38"/>
      <c r="BG53" s="38"/>
      <c r="BH53" s="38">
        <f t="shared" si="12"/>
        <v>2740</v>
      </c>
      <c r="BI53" s="38"/>
      <c r="BJ53" s="38"/>
      <c r="BK53" s="38">
        <f t="shared" si="13"/>
        <v>2740</v>
      </c>
      <c r="BL53" s="337" t="s">
        <v>56</v>
      </c>
      <c r="BM53" s="131"/>
      <c r="BN53" s="131"/>
      <c r="BO53" s="32" t="s">
        <v>425</v>
      </c>
      <c r="BP53" s="67">
        <v>2740</v>
      </c>
      <c r="BQ53" s="67"/>
      <c r="BR53" s="34"/>
      <c r="BS53" s="34"/>
      <c r="BT53" s="34"/>
      <c r="BU53" s="34"/>
      <c r="BV53" s="34"/>
      <c r="BW53" s="34" t="s">
        <v>426</v>
      </c>
      <c r="BX53" s="67">
        <v>2740</v>
      </c>
      <c r="BY53" s="96"/>
      <c r="BZ53" s="96"/>
      <c r="CA53" s="96"/>
      <c r="CB53" s="96"/>
      <c r="CC53" s="9" t="s">
        <v>1092</v>
      </c>
      <c r="CD53" s="67">
        <f>180.52+6.58+180.8+6.58+180.4+6.58+180.04+6.58+6.58+180.04+180.13+6.58+180.2+6.58+186.51+6.58+186.55+6.58+186.24+6.58+6.2+180.35+6.58-6.58+6.58+6.44+186.24</f>
        <v>2273.04</v>
      </c>
      <c r="CE53" s="67">
        <f>180.52+6.58+180.8+6.58+180.4+6.58+180.04+6.58+6.58+180.04+180.13+6.58+180.2+6.58+186.51+6.58+186.55+6.58+186.24+6.58+6.2+180.35+6.58-6.58+6.58+6.44+186.24</f>
        <v>2273.04</v>
      </c>
      <c r="CF53" s="781">
        <f t="shared" si="14"/>
        <v>0</v>
      </c>
      <c r="CG53" s="419" t="s">
        <v>544</v>
      </c>
      <c r="CH53" s="419" t="s">
        <v>544</v>
      </c>
      <c r="CI53" s="419" t="s">
        <v>544</v>
      </c>
      <c r="CJ53" s="419"/>
      <c r="CK53" s="10" t="s">
        <v>45</v>
      </c>
      <c r="CL53" s="10" t="s">
        <v>45</v>
      </c>
      <c r="CM53" s="9" t="s">
        <v>45</v>
      </c>
      <c r="CN53" s="9" t="s">
        <v>45</v>
      </c>
      <c r="CO53" s="9" t="s">
        <v>45</v>
      </c>
      <c r="CP53" s="9" t="s">
        <v>45</v>
      </c>
      <c r="CQ53" s="9" t="s">
        <v>45</v>
      </c>
      <c r="CR53" s="9" t="s">
        <v>45</v>
      </c>
    </row>
    <row r="54" spans="1:96" s="19" customFormat="1" ht="173.4" customHeight="1" x14ac:dyDescent="0.3">
      <c r="A54" s="4" t="s">
        <v>907</v>
      </c>
      <c r="B54" s="5" t="s">
        <v>90</v>
      </c>
      <c r="C54" s="5" t="s">
        <v>91</v>
      </c>
      <c r="D54" s="5" t="s">
        <v>92</v>
      </c>
      <c r="E54" s="22" t="s">
        <v>182</v>
      </c>
      <c r="F54" s="8" t="s">
        <v>183</v>
      </c>
      <c r="G54" s="32" t="s">
        <v>184</v>
      </c>
      <c r="H54" s="14" t="s">
        <v>167</v>
      </c>
      <c r="I54" s="14" t="s">
        <v>904</v>
      </c>
      <c r="J54" s="9" t="s">
        <v>96</v>
      </c>
      <c r="K54" s="10">
        <v>2025</v>
      </c>
      <c r="L54" s="11" t="s">
        <v>46</v>
      </c>
      <c r="M54" s="11" t="s">
        <v>47</v>
      </c>
      <c r="N54" s="11" t="s">
        <v>47</v>
      </c>
      <c r="O54" s="12">
        <v>1</v>
      </c>
      <c r="P54" s="4" t="s">
        <v>185</v>
      </c>
      <c r="Q54" s="13"/>
      <c r="R54" s="14" t="s">
        <v>48</v>
      </c>
      <c r="S54" s="15" t="s">
        <v>49</v>
      </c>
      <c r="T54" s="15" t="s">
        <v>50</v>
      </c>
      <c r="U54" s="7" t="s">
        <v>160</v>
      </c>
      <c r="V54" s="7" t="s">
        <v>161</v>
      </c>
      <c r="W54" s="7" t="s">
        <v>162</v>
      </c>
      <c r="X54" s="7" t="s">
        <v>163</v>
      </c>
      <c r="Y54" s="16" t="s">
        <v>55</v>
      </c>
      <c r="Z54" s="21">
        <v>1230</v>
      </c>
      <c r="AA54" s="55">
        <v>1</v>
      </c>
      <c r="AB54" s="55"/>
      <c r="AC54" s="55"/>
      <c r="AD54" s="18">
        <f t="shared" ref="AD54:AD157" si="44">+AA54+AB54+AC54</f>
        <v>1</v>
      </c>
      <c r="AE54" s="38">
        <v>1090</v>
      </c>
      <c r="AF54" s="38"/>
      <c r="AG54" s="38"/>
      <c r="AH54" s="38">
        <f t="shared" si="1"/>
        <v>1090</v>
      </c>
      <c r="AI54" s="38"/>
      <c r="AJ54" s="38"/>
      <c r="AK54" s="359"/>
      <c r="AL54" s="359"/>
      <c r="AM54" s="74">
        <f t="shared" si="21"/>
        <v>1230</v>
      </c>
      <c r="AN54" s="38"/>
      <c r="AO54" s="38"/>
      <c r="AP54" s="74">
        <f t="shared" si="22"/>
        <v>1230</v>
      </c>
      <c r="AQ54" s="38"/>
      <c r="AR54" s="74"/>
      <c r="AS54" s="74">
        <f t="shared" si="7"/>
        <v>1230</v>
      </c>
      <c r="AT54" s="38"/>
      <c r="AU54" s="38">
        <v>140</v>
      </c>
      <c r="AV54" s="38">
        <f t="shared" si="8"/>
        <v>1090</v>
      </c>
      <c r="AW54" s="38"/>
      <c r="AX54" s="38"/>
      <c r="AY54" s="38">
        <f t="shared" si="9"/>
        <v>1090</v>
      </c>
      <c r="AZ54" s="38"/>
      <c r="BA54" s="38"/>
      <c r="BB54" s="38">
        <f t="shared" si="10"/>
        <v>1090</v>
      </c>
      <c r="BC54" s="74"/>
      <c r="BD54" s="74"/>
      <c r="BE54" s="38">
        <f t="shared" si="11"/>
        <v>1090</v>
      </c>
      <c r="BF54" s="38"/>
      <c r="BG54" s="38"/>
      <c r="BH54" s="38">
        <f t="shared" si="12"/>
        <v>1090</v>
      </c>
      <c r="BI54" s="38"/>
      <c r="BJ54" s="38"/>
      <c r="BK54" s="38">
        <f t="shared" si="13"/>
        <v>1090</v>
      </c>
      <c r="BL54" s="337" t="s">
        <v>56</v>
      </c>
      <c r="BM54" s="10"/>
      <c r="BN54" s="131"/>
      <c r="BO54" s="32" t="s">
        <v>476</v>
      </c>
      <c r="BP54" s="67">
        <v>1090</v>
      </c>
      <c r="BQ54" s="67"/>
      <c r="BR54" s="34"/>
      <c r="BS54" s="34"/>
      <c r="BT54" s="34"/>
      <c r="BU54" s="34"/>
      <c r="BV54" s="34"/>
      <c r="BW54" s="34" t="s">
        <v>477</v>
      </c>
      <c r="BX54" s="67">
        <v>1090</v>
      </c>
      <c r="BY54" s="95"/>
      <c r="BZ54" s="95"/>
      <c r="CA54" s="95"/>
      <c r="CB54" s="95"/>
      <c r="CC54" s="10" t="s">
        <v>511</v>
      </c>
      <c r="CD54" s="67">
        <v>1090</v>
      </c>
      <c r="CE54" s="67">
        <v>1090</v>
      </c>
      <c r="CF54" s="781">
        <f t="shared" si="14"/>
        <v>0</v>
      </c>
      <c r="CG54" s="133" t="s">
        <v>544</v>
      </c>
      <c r="CH54" s="133" t="s">
        <v>544</v>
      </c>
      <c r="CI54" s="133" t="s">
        <v>544</v>
      </c>
      <c r="CJ54" s="133"/>
      <c r="CK54" s="58">
        <v>45672</v>
      </c>
      <c r="CL54" s="58">
        <v>45677</v>
      </c>
      <c r="CM54" s="63" t="s">
        <v>351</v>
      </c>
      <c r="CN54" s="8" t="s">
        <v>336</v>
      </c>
      <c r="CO54" s="8" t="s">
        <v>341</v>
      </c>
      <c r="CP54" s="66" t="str">
        <f>+CM54</f>
        <v>PARRA ZAMBONINO SANTOS NAVIGIO</v>
      </c>
      <c r="CQ54" s="9" t="s">
        <v>467</v>
      </c>
      <c r="CR54" s="9" t="s">
        <v>440</v>
      </c>
    </row>
    <row r="55" spans="1:96" s="19" customFormat="1" ht="151.19999999999999" customHeight="1" x14ac:dyDescent="0.3">
      <c r="A55" s="4" t="s">
        <v>907</v>
      </c>
      <c r="B55" s="5" t="s">
        <v>90</v>
      </c>
      <c r="C55" s="5" t="s">
        <v>91</v>
      </c>
      <c r="D55" s="5" t="s">
        <v>92</v>
      </c>
      <c r="E55" s="22" t="s">
        <v>171</v>
      </c>
      <c r="F55" s="8" t="s">
        <v>172</v>
      </c>
      <c r="G55" s="32" t="s">
        <v>186</v>
      </c>
      <c r="H55" s="14" t="s">
        <v>167</v>
      </c>
      <c r="I55" s="14" t="s">
        <v>904</v>
      </c>
      <c r="J55" s="9" t="s">
        <v>156</v>
      </c>
      <c r="K55" s="10">
        <v>2025</v>
      </c>
      <c r="L55" s="11" t="s">
        <v>46</v>
      </c>
      <c r="M55" s="11" t="s">
        <v>47</v>
      </c>
      <c r="N55" s="11" t="s">
        <v>47</v>
      </c>
      <c r="O55" s="12" t="s">
        <v>187</v>
      </c>
      <c r="P55" s="4" t="s">
        <v>188</v>
      </c>
      <c r="Q55" s="13"/>
      <c r="R55" s="14" t="s">
        <v>48</v>
      </c>
      <c r="S55" s="15" t="s">
        <v>49</v>
      </c>
      <c r="T55" s="15" t="s">
        <v>50</v>
      </c>
      <c r="U55" s="9" t="s">
        <v>51</v>
      </c>
      <c r="V55" s="9" t="s">
        <v>52</v>
      </c>
      <c r="W55" s="9" t="s">
        <v>53</v>
      </c>
      <c r="X55" s="9" t="s">
        <v>54</v>
      </c>
      <c r="Y55" s="16" t="s">
        <v>55</v>
      </c>
      <c r="Z55" s="21">
        <v>43583.199999999997</v>
      </c>
      <c r="AA55" s="55"/>
      <c r="AB55" s="55"/>
      <c r="AC55" s="55">
        <v>1</v>
      </c>
      <c r="AD55" s="18">
        <f t="shared" si="44"/>
        <v>1</v>
      </c>
      <c r="AE55" s="38"/>
      <c r="AF55" s="38"/>
      <c r="AG55" s="38">
        <v>0</v>
      </c>
      <c r="AH55" s="38">
        <f t="shared" si="1"/>
        <v>0</v>
      </c>
      <c r="AI55" s="38"/>
      <c r="AJ55" s="38"/>
      <c r="AK55" s="359"/>
      <c r="AL55" s="359"/>
      <c r="AM55" s="74">
        <f t="shared" si="21"/>
        <v>43583.199999999997</v>
      </c>
      <c r="AN55" s="38"/>
      <c r="AO55" s="38"/>
      <c r="AP55" s="74">
        <f t="shared" si="22"/>
        <v>43583.199999999997</v>
      </c>
      <c r="AQ55" s="38"/>
      <c r="AR55" s="74"/>
      <c r="AS55" s="74">
        <f t="shared" si="7"/>
        <v>43583.199999999997</v>
      </c>
      <c r="AT55" s="38"/>
      <c r="AU55" s="38"/>
      <c r="AV55" s="38">
        <f t="shared" si="8"/>
        <v>43583.199999999997</v>
      </c>
      <c r="AW55" s="38"/>
      <c r="AX55" s="38"/>
      <c r="AY55" s="38">
        <f t="shared" si="9"/>
        <v>43583.199999999997</v>
      </c>
      <c r="AZ55" s="38"/>
      <c r="BA55" s="38"/>
      <c r="BB55" s="38">
        <f t="shared" si="10"/>
        <v>43583.199999999997</v>
      </c>
      <c r="BC55" s="74"/>
      <c r="BD55" s="74">
        <v>43583.199999999997</v>
      </c>
      <c r="BE55" s="38">
        <f t="shared" si="11"/>
        <v>0</v>
      </c>
      <c r="BF55" s="38"/>
      <c r="BG55" s="38"/>
      <c r="BH55" s="38">
        <f t="shared" si="12"/>
        <v>0</v>
      </c>
      <c r="BI55" s="38"/>
      <c r="BJ55" s="38"/>
      <c r="BK55" s="38">
        <f t="shared" si="13"/>
        <v>0</v>
      </c>
      <c r="BL55" s="337" t="s">
        <v>56</v>
      </c>
      <c r="BM55" s="10"/>
      <c r="BN55" s="131"/>
      <c r="BO55" s="34"/>
      <c r="BP55" s="34"/>
      <c r="BQ55" s="34"/>
      <c r="BR55" s="34"/>
      <c r="BS55" s="34"/>
      <c r="BT55" s="34"/>
      <c r="BU55" s="34"/>
      <c r="BV55" s="34"/>
      <c r="BW55" s="95"/>
      <c r="BX55" s="95"/>
      <c r="BY55" s="95"/>
      <c r="BZ55" s="95"/>
      <c r="CA55" s="95"/>
      <c r="CB55" s="95"/>
      <c r="CC55" s="99"/>
      <c r="CD55" s="96"/>
      <c r="CE55" s="96"/>
      <c r="CF55" s="781">
        <f t="shared" si="14"/>
        <v>0</v>
      </c>
      <c r="CG55" s="420" t="s">
        <v>971</v>
      </c>
      <c r="CH55" s="134"/>
      <c r="CI55" s="412"/>
      <c r="CJ55" s="412"/>
      <c r="CK55" s="58">
        <v>45870</v>
      </c>
      <c r="CL55" s="58">
        <v>45884</v>
      </c>
      <c r="CM55" s="8" t="s">
        <v>339</v>
      </c>
      <c r="CN55" s="64" t="s">
        <v>358</v>
      </c>
      <c r="CO55" s="63" t="s">
        <v>344</v>
      </c>
      <c r="CP55" s="9" t="str">
        <f>+CM55</f>
        <v>VELIN VINUEZA OSKAR JESUS</v>
      </c>
      <c r="CQ55" s="9"/>
      <c r="CR55" s="9"/>
    </row>
    <row r="56" spans="1:96" s="19" customFormat="1" ht="103.95" customHeight="1" x14ac:dyDescent="0.3">
      <c r="A56" s="4" t="s">
        <v>907</v>
      </c>
      <c r="B56" s="5" t="s">
        <v>90</v>
      </c>
      <c r="C56" s="5" t="s">
        <v>91</v>
      </c>
      <c r="D56" s="5" t="s">
        <v>92</v>
      </c>
      <c r="E56" s="22" t="s">
        <v>189</v>
      </c>
      <c r="F56" s="8" t="s">
        <v>190</v>
      </c>
      <c r="G56" s="32" t="s">
        <v>191</v>
      </c>
      <c r="H56" s="14" t="s">
        <v>167</v>
      </c>
      <c r="I56" s="14" t="s">
        <v>904</v>
      </c>
      <c r="J56" s="9" t="s">
        <v>156</v>
      </c>
      <c r="K56" s="10">
        <v>2025</v>
      </c>
      <c r="L56" s="11" t="s">
        <v>46</v>
      </c>
      <c r="M56" s="11" t="s">
        <v>47</v>
      </c>
      <c r="N56" s="11" t="s">
        <v>47</v>
      </c>
      <c r="O56" s="12" t="s">
        <v>192</v>
      </c>
      <c r="P56" s="4" t="s">
        <v>193</v>
      </c>
      <c r="Q56" s="13"/>
      <c r="R56" s="14" t="s">
        <v>48</v>
      </c>
      <c r="S56" s="15" t="s">
        <v>49</v>
      </c>
      <c r="T56" s="15" t="s">
        <v>50</v>
      </c>
      <c r="U56" s="9" t="s">
        <v>51</v>
      </c>
      <c r="V56" s="9" t="s">
        <v>52</v>
      </c>
      <c r="W56" s="9" t="s">
        <v>53</v>
      </c>
      <c r="X56" s="9" t="s">
        <v>54</v>
      </c>
      <c r="Y56" s="16" t="s">
        <v>55</v>
      </c>
      <c r="Z56" s="21">
        <v>12913</v>
      </c>
      <c r="AA56" s="55"/>
      <c r="AB56" s="55">
        <v>1</v>
      </c>
      <c r="AC56" s="55"/>
      <c r="AD56" s="18">
        <f t="shared" si="44"/>
        <v>1</v>
      </c>
      <c r="AE56" s="38"/>
      <c r="AF56" s="38">
        <v>0</v>
      </c>
      <c r="AG56" s="38"/>
      <c r="AH56" s="38">
        <f t="shared" si="1"/>
        <v>0</v>
      </c>
      <c r="AI56" s="38"/>
      <c r="AJ56" s="38"/>
      <c r="AK56" s="359"/>
      <c r="AL56" s="359"/>
      <c r="AM56" s="74">
        <f t="shared" si="21"/>
        <v>12913</v>
      </c>
      <c r="AN56" s="38"/>
      <c r="AO56" s="38"/>
      <c r="AP56" s="74">
        <f t="shared" si="22"/>
        <v>12913</v>
      </c>
      <c r="AQ56" s="38"/>
      <c r="AR56" s="74"/>
      <c r="AS56" s="74">
        <f t="shared" si="7"/>
        <v>12913</v>
      </c>
      <c r="AT56" s="38"/>
      <c r="AU56" s="38"/>
      <c r="AV56" s="38">
        <f t="shared" si="8"/>
        <v>12913</v>
      </c>
      <c r="AW56" s="38"/>
      <c r="AX56" s="38"/>
      <c r="AY56" s="38">
        <f t="shared" si="9"/>
        <v>12913</v>
      </c>
      <c r="AZ56" s="38"/>
      <c r="BA56" s="38"/>
      <c r="BB56" s="38">
        <f t="shared" si="10"/>
        <v>12913</v>
      </c>
      <c r="BC56" s="74"/>
      <c r="BD56" s="74">
        <v>12913</v>
      </c>
      <c r="BE56" s="38">
        <f t="shared" si="11"/>
        <v>0</v>
      </c>
      <c r="BF56" s="38"/>
      <c r="BG56" s="38"/>
      <c r="BH56" s="38">
        <f t="shared" si="12"/>
        <v>0</v>
      </c>
      <c r="BI56" s="38"/>
      <c r="BJ56" s="38"/>
      <c r="BK56" s="38">
        <f t="shared" si="13"/>
        <v>0</v>
      </c>
      <c r="BL56" s="337" t="s">
        <v>56</v>
      </c>
      <c r="BM56" s="10"/>
      <c r="BN56" s="131"/>
      <c r="BO56" s="34"/>
      <c r="BP56" s="34"/>
      <c r="BQ56" s="34"/>
      <c r="BR56" s="34"/>
      <c r="BS56" s="34"/>
      <c r="BT56" s="34"/>
      <c r="BU56" s="34"/>
      <c r="BV56" s="34"/>
      <c r="BW56" s="95"/>
      <c r="BX56" s="95"/>
      <c r="BY56" s="95"/>
      <c r="BZ56" s="95"/>
      <c r="CA56" s="95"/>
      <c r="CB56" s="95"/>
      <c r="CC56" s="99"/>
      <c r="CD56" s="96"/>
      <c r="CE56" s="96"/>
      <c r="CF56" s="781">
        <f t="shared" si="14"/>
        <v>0</v>
      </c>
      <c r="CG56" s="420" t="s">
        <v>971</v>
      </c>
      <c r="CH56" s="134"/>
      <c r="CI56" s="412"/>
      <c r="CJ56" s="412"/>
      <c r="CK56" s="62">
        <v>45708</v>
      </c>
      <c r="CL56" s="62">
        <v>45716</v>
      </c>
      <c r="CM56" s="63" t="s">
        <v>351</v>
      </c>
      <c r="CN56" s="8" t="s">
        <v>359</v>
      </c>
      <c r="CO56" s="8" t="s">
        <v>346</v>
      </c>
      <c r="CP56" s="66" t="str">
        <f>+CM56</f>
        <v>PARRA ZAMBONINO SANTOS NAVIGIO</v>
      </c>
      <c r="CQ56" s="9" t="s">
        <v>467</v>
      </c>
      <c r="CR56" s="75" t="s">
        <v>443</v>
      </c>
    </row>
    <row r="57" spans="1:96" s="19" customFormat="1" ht="135" customHeight="1" x14ac:dyDescent="0.3">
      <c r="A57" s="4" t="s">
        <v>907</v>
      </c>
      <c r="B57" s="5" t="s">
        <v>90</v>
      </c>
      <c r="C57" s="5" t="s">
        <v>91</v>
      </c>
      <c r="D57" s="5" t="s">
        <v>92</v>
      </c>
      <c r="E57" s="22" t="s">
        <v>196</v>
      </c>
      <c r="F57" s="8" t="s">
        <v>197</v>
      </c>
      <c r="G57" s="15" t="s">
        <v>198</v>
      </c>
      <c r="H57" s="14" t="s">
        <v>167</v>
      </c>
      <c r="I57" s="14" t="s">
        <v>904</v>
      </c>
      <c r="J57" s="9" t="s">
        <v>199</v>
      </c>
      <c r="K57" s="10">
        <v>2025</v>
      </c>
      <c r="L57" s="11" t="s">
        <v>46</v>
      </c>
      <c r="M57" s="11" t="s">
        <v>47</v>
      </c>
      <c r="N57" s="11" t="s">
        <v>47</v>
      </c>
      <c r="O57" s="12" t="s">
        <v>192</v>
      </c>
      <c r="P57" s="4" t="s">
        <v>200</v>
      </c>
      <c r="Q57" s="13"/>
      <c r="R57" s="14" t="s">
        <v>48</v>
      </c>
      <c r="S57" s="15" t="s">
        <v>49</v>
      </c>
      <c r="T57" s="15" t="s">
        <v>50</v>
      </c>
      <c r="U57" s="9" t="s">
        <v>51</v>
      </c>
      <c r="V57" s="9" t="s">
        <v>52</v>
      </c>
      <c r="W57" s="9" t="s">
        <v>53</v>
      </c>
      <c r="X57" s="9" t="s">
        <v>54</v>
      </c>
      <c r="Y57" s="16" t="s">
        <v>55</v>
      </c>
      <c r="Z57" s="21">
        <v>22035.89</v>
      </c>
      <c r="AA57" s="55"/>
      <c r="AB57" s="55"/>
      <c r="AC57" s="55">
        <v>1</v>
      </c>
      <c r="AD57" s="18">
        <f t="shared" ref="AD57:AD65" si="45">+AA57+AB57+AC57</f>
        <v>1</v>
      </c>
      <c r="AE57" s="38"/>
      <c r="AF57" s="38"/>
      <c r="AG57" s="38">
        <v>20663.05</v>
      </c>
      <c r="AH57" s="38">
        <f t="shared" si="1"/>
        <v>20663.05</v>
      </c>
      <c r="AI57" s="38"/>
      <c r="AJ57" s="38"/>
      <c r="AK57" s="359"/>
      <c r="AL57" s="359"/>
      <c r="AM57" s="74">
        <f>+Z57+AI57-AJ57+AK57-AL57</f>
        <v>22035.89</v>
      </c>
      <c r="AN57" s="38"/>
      <c r="AO57" s="38"/>
      <c r="AP57" s="74">
        <f>+AM57+AN57-AO57</f>
        <v>22035.89</v>
      </c>
      <c r="AQ57" s="38"/>
      <c r="AR57" s="74">
        <v>1087.47</v>
      </c>
      <c r="AS57" s="74">
        <f>+AP57+AQ57-AR57</f>
        <v>20948.419999999998</v>
      </c>
      <c r="AT57" s="38"/>
      <c r="AU57" s="38">
        <v>285.37</v>
      </c>
      <c r="AV57" s="38">
        <f>+AS57+AT57-AU57</f>
        <v>20663.05</v>
      </c>
      <c r="AW57" s="38"/>
      <c r="AX57" s="38"/>
      <c r="AY57" s="38">
        <f>+AV57+AW57-AX57</f>
        <v>20663.05</v>
      </c>
      <c r="AZ57" s="38"/>
      <c r="BA57" s="38"/>
      <c r="BB57" s="38">
        <f>+AY57+AZ57-BA57</f>
        <v>20663.05</v>
      </c>
      <c r="BC57" s="74"/>
      <c r="BD57" s="74"/>
      <c r="BE57" s="38">
        <f t="shared" si="11"/>
        <v>20663.05</v>
      </c>
      <c r="BF57" s="38"/>
      <c r="BG57" s="38"/>
      <c r="BH57" s="38">
        <f t="shared" si="12"/>
        <v>20663.05</v>
      </c>
      <c r="BI57" s="38"/>
      <c r="BJ57" s="38"/>
      <c r="BK57" s="38">
        <f t="shared" si="13"/>
        <v>20663.05</v>
      </c>
      <c r="BL57" s="337" t="s">
        <v>56</v>
      </c>
      <c r="BM57" s="37"/>
      <c r="BN57" s="131"/>
      <c r="BO57" s="34"/>
      <c r="BP57" s="34"/>
      <c r="BQ57" s="34"/>
      <c r="BR57" s="34"/>
      <c r="BS57" s="34"/>
      <c r="BT57" s="34"/>
      <c r="BU57" s="34"/>
      <c r="BV57" s="34"/>
      <c r="BW57" s="95"/>
      <c r="BX57" s="95"/>
      <c r="BY57" s="95"/>
      <c r="BZ57" s="95"/>
      <c r="CA57" s="95"/>
      <c r="CB57" s="95"/>
      <c r="CC57" s="99"/>
      <c r="CD57" s="96"/>
      <c r="CE57" s="96"/>
      <c r="CF57" s="781">
        <f t="shared" si="14"/>
        <v>0</v>
      </c>
      <c r="CG57" s="134" t="s">
        <v>974</v>
      </c>
      <c r="CH57" s="134"/>
      <c r="CI57" s="412"/>
      <c r="CJ57" s="412"/>
      <c r="CK57" s="62"/>
      <c r="CL57" s="62"/>
      <c r="CM57" s="63" t="s">
        <v>360</v>
      </c>
      <c r="CN57" s="8"/>
      <c r="CO57" s="9"/>
      <c r="CP57" s="9"/>
      <c r="CQ57" s="9"/>
      <c r="CR57" s="9"/>
    </row>
    <row r="58" spans="1:96" s="19" customFormat="1" ht="101.4" customHeight="1" x14ac:dyDescent="0.3">
      <c r="A58" s="4" t="s">
        <v>907</v>
      </c>
      <c r="B58" s="5" t="s">
        <v>90</v>
      </c>
      <c r="C58" s="5" t="s">
        <v>91</v>
      </c>
      <c r="D58" s="5" t="s">
        <v>92</v>
      </c>
      <c r="E58" s="22" t="s">
        <v>189</v>
      </c>
      <c r="F58" s="8" t="s">
        <v>190</v>
      </c>
      <c r="G58" s="15" t="s">
        <v>201</v>
      </c>
      <c r="H58" s="14" t="s">
        <v>167</v>
      </c>
      <c r="I58" s="14" t="s">
        <v>904</v>
      </c>
      <c r="J58" s="9" t="s">
        <v>156</v>
      </c>
      <c r="K58" s="10">
        <v>2025</v>
      </c>
      <c r="L58" s="11" t="s">
        <v>46</v>
      </c>
      <c r="M58" s="11" t="s">
        <v>47</v>
      </c>
      <c r="N58" s="11" t="s">
        <v>47</v>
      </c>
      <c r="O58" s="12" t="s">
        <v>187</v>
      </c>
      <c r="P58" s="4" t="s">
        <v>202</v>
      </c>
      <c r="Q58" s="13"/>
      <c r="R58" s="14" t="s">
        <v>48</v>
      </c>
      <c r="S58" s="15" t="s">
        <v>49</v>
      </c>
      <c r="T58" s="15" t="s">
        <v>50</v>
      </c>
      <c r="U58" s="9" t="s">
        <v>51</v>
      </c>
      <c r="V58" s="9" t="s">
        <v>52</v>
      </c>
      <c r="W58" s="9" t="s">
        <v>53</v>
      </c>
      <c r="X58" s="9" t="s">
        <v>54</v>
      </c>
      <c r="Y58" s="16" t="s">
        <v>55</v>
      </c>
      <c r="Z58" s="21">
        <v>16630.79</v>
      </c>
      <c r="AA58" s="55">
        <v>1</v>
      </c>
      <c r="AB58" s="55"/>
      <c r="AC58" s="55"/>
      <c r="AD58" s="18">
        <f t="shared" si="45"/>
        <v>1</v>
      </c>
      <c r="AE58" s="38">
        <v>8962.19</v>
      </c>
      <c r="AF58" s="38"/>
      <c r="AG58" s="38"/>
      <c r="AH58" s="38">
        <f t="shared" si="1"/>
        <v>8962.19</v>
      </c>
      <c r="AI58" s="38"/>
      <c r="AJ58" s="38"/>
      <c r="AK58" s="359"/>
      <c r="AL58" s="359"/>
      <c r="AM58" s="74">
        <f>+Z58+AI58-AJ58+AK58-AL58</f>
        <v>16630.79</v>
      </c>
      <c r="AN58" s="38"/>
      <c r="AO58" s="38"/>
      <c r="AP58" s="74">
        <f>+AM58+AN58-AO58</f>
        <v>16630.79</v>
      </c>
      <c r="AQ58" s="38"/>
      <c r="AR58" s="74"/>
      <c r="AS58" s="74">
        <f>+AP58+AQ58-AR58</f>
        <v>16630.79</v>
      </c>
      <c r="AT58" s="38"/>
      <c r="AU58" s="38"/>
      <c r="AV58" s="38">
        <f>+AS58+AT58-AU58</f>
        <v>16630.79</v>
      </c>
      <c r="AW58" s="38"/>
      <c r="AX58" s="38"/>
      <c r="AY58" s="38">
        <f>+AV58+AW58-AX58</f>
        <v>16630.79</v>
      </c>
      <c r="AZ58" s="38"/>
      <c r="BA58" s="38"/>
      <c r="BB58" s="38">
        <f>+AY58+AZ58-BA58</f>
        <v>16630.79</v>
      </c>
      <c r="BC58" s="74"/>
      <c r="BD58" s="74">
        <v>7668.6</v>
      </c>
      <c r="BE58" s="38">
        <f t="shared" si="11"/>
        <v>8962.19</v>
      </c>
      <c r="BF58" s="38"/>
      <c r="BG58" s="38"/>
      <c r="BH58" s="38">
        <f t="shared" si="12"/>
        <v>8962.19</v>
      </c>
      <c r="BI58" s="38"/>
      <c r="BJ58" s="38"/>
      <c r="BK58" s="38">
        <f t="shared" si="13"/>
        <v>8962.19</v>
      </c>
      <c r="BL58" s="337" t="s">
        <v>56</v>
      </c>
      <c r="BM58" s="37"/>
      <c r="BN58" s="131"/>
      <c r="BO58" s="34"/>
      <c r="BP58" s="34"/>
      <c r="BQ58" s="34"/>
      <c r="BR58" s="34"/>
      <c r="BS58" s="34"/>
      <c r="BT58" s="34"/>
      <c r="BU58" s="34"/>
      <c r="BV58" s="34"/>
      <c r="BW58" s="95"/>
      <c r="BX58" s="95"/>
      <c r="BY58" s="95"/>
      <c r="BZ58" s="95"/>
      <c r="CA58" s="95"/>
      <c r="CB58" s="95"/>
      <c r="CC58" s="9" t="s">
        <v>452</v>
      </c>
      <c r="CD58" s="67">
        <f>2397.72+2664+486+3414.47</f>
        <v>8962.1899999999987</v>
      </c>
      <c r="CE58" s="67">
        <f>2397.72+2664+486+3414.47</f>
        <v>8962.1899999999987</v>
      </c>
      <c r="CF58" s="781">
        <f t="shared" si="14"/>
        <v>0</v>
      </c>
      <c r="CG58" s="133" t="s">
        <v>544</v>
      </c>
      <c r="CH58" s="133" t="s">
        <v>544</v>
      </c>
      <c r="CI58" s="133" t="s">
        <v>544</v>
      </c>
      <c r="CJ58" s="133"/>
      <c r="CK58" s="79" t="s">
        <v>45</v>
      </c>
      <c r="CL58" s="10" t="s">
        <v>45</v>
      </c>
      <c r="CM58" s="9" t="s">
        <v>351</v>
      </c>
      <c r="CN58" s="9" t="s">
        <v>45</v>
      </c>
      <c r="CO58" s="9" t="s">
        <v>346</v>
      </c>
      <c r="CP58" s="9" t="str">
        <f>+CM58</f>
        <v>PARRA ZAMBONINO SANTOS NAVIGIO</v>
      </c>
      <c r="CQ58" s="9" t="s">
        <v>469</v>
      </c>
      <c r="CR58" s="9" t="s">
        <v>440</v>
      </c>
    </row>
    <row r="59" spans="1:96" s="19" customFormat="1" ht="156" customHeight="1" x14ac:dyDescent="0.3">
      <c r="A59" s="4" t="s">
        <v>907</v>
      </c>
      <c r="B59" s="5" t="s">
        <v>90</v>
      </c>
      <c r="C59" s="5" t="s">
        <v>91</v>
      </c>
      <c r="D59" s="5" t="s">
        <v>92</v>
      </c>
      <c r="E59" s="22" t="s">
        <v>142</v>
      </c>
      <c r="F59" s="8" t="s">
        <v>455</v>
      </c>
      <c r="G59" s="15" t="s">
        <v>479</v>
      </c>
      <c r="H59" s="14" t="s">
        <v>167</v>
      </c>
      <c r="I59" s="14" t="s">
        <v>904</v>
      </c>
      <c r="J59" s="9" t="s">
        <v>96</v>
      </c>
      <c r="K59" s="10">
        <v>2025</v>
      </c>
      <c r="L59" s="11" t="s">
        <v>46</v>
      </c>
      <c r="M59" s="11" t="s">
        <v>47</v>
      </c>
      <c r="N59" s="11" t="s">
        <v>47</v>
      </c>
      <c r="O59" s="12">
        <v>4</v>
      </c>
      <c r="P59" s="4" t="s">
        <v>480</v>
      </c>
      <c r="Q59" s="13"/>
      <c r="R59" s="14" t="s">
        <v>48</v>
      </c>
      <c r="S59" s="15" t="s">
        <v>49</v>
      </c>
      <c r="T59" s="15" t="s">
        <v>50</v>
      </c>
      <c r="U59" s="9" t="s">
        <v>51</v>
      </c>
      <c r="V59" s="9" t="s">
        <v>52</v>
      </c>
      <c r="W59" s="9" t="s">
        <v>53</v>
      </c>
      <c r="X59" s="9" t="s">
        <v>54</v>
      </c>
      <c r="Y59" s="16"/>
      <c r="Z59" s="21"/>
      <c r="AA59" s="18"/>
      <c r="AB59" s="55"/>
      <c r="AC59" s="18">
        <v>1</v>
      </c>
      <c r="AD59" s="18">
        <f t="shared" si="45"/>
        <v>1</v>
      </c>
      <c r="AE59" s="38"/>
      <c r="AF59" s="38"/>
      <c r="AG59" s="38">
        <v>285.37</v>
      </c>
      <c r="AH59" s="38">
        <f t="shared" si="1"/>
        <v>285.37</v>
      </c>
      <c r="AI59" s="38"/>
      <c r="AJ59" s="38"/>
      <c r="AK59" s="359"/>
      <c r="AL59" s="359"/>
      <c r="AM59" s="74"/>
      <c r="AN59" s="38"/>
      <c r="AO59" s="38"/>
      <c r="AP59" s="74"/>
      <c r="AQ59" s="38"/>
      <c r="AR59" s="74"/>
      <c r="AS59" s="74">
        <v>0</v>
      </c>
      <c r="AT59" s="38">
        <v>285.37</v>
      </c>
      <c r="AU59" s="38"/>
      <c r="AV59" s="38">
        <f>+AS59+AT59-AU59</f>
        <v>285.37</v>
      </c>
      <c r="AW59" s="38"/>
      <c r="AX59" s="38"/>
      <c r="AY59" s="38">
        <f>+AV59+AW59-AX59</f>
        <v>285.37</v>
      </c>
      <c r="AZ59" s="38"/>
      <c r="BA59" s="38"/>
      <c r="BB59" s="38">
        <f>+AY59+AZ59-BA59</f>
        <v>285.37</v>
      </c>
      <c r="BC59" s="74"/>
      <c r="BD59" s="74"/>
      <c r="BE59" s="38">
        <f t="shared" si="11"/>
        <v>285.37</v>
      </c>
      <c r="BF59" s="38"/>
      <c r="BG59" s="38"/>
      <c r="BH59" s="38">
        <f t="shared" si="12"/>
        <v>285.37</v>
      </c>
      <c r="BI59" s="38"/>
      <c r="BJ59" s="38"/>
      <c r="BK59" s="38">
        <f t="shared" si="13"/>
        <v>285.37</v>
      </c>
      <c r="BL59" s="337" t="s">
        <v>56</v>
      </c>
      <c r="BM59" s="37"/>
      <c r="BN59" s="131"/>
      <c r="BO59" s="32"/>
      <c r="BP59" s="38"/>
      <c r="BQ59" s="38"/>
      <c r="BR59" s="34"/>
      <c r="BS59" s="34"/>
      <c r="BT59" s="34"/>
      <c r="BU59" s="34"/>
      <c r="BV59" s="34"/>
      <c r="BW59" s="98"/>
      <c r="BX59" s="100"/>
      <c r="BY59" s="95"/>
      <c r="BZ59" s="95"/>
      <c r="CA59" s="95"/>
      <c r="CB59" s="95"/>
      <c r="CC59" s="97"/>
      <c r="CD59" s="96"/>
      <c r="CE59" s="96"/>
      <c r="CF59" s="781">
        <f t="shared" si="14"/>
        <v>0</v>
      </c>
      <c r="CG59" s="133" t="s">
        <v>45</v>
      </c>
      <c r="CH59" s="133" t="s">
        <v>45</v>
      </c>
      <c r="CI59" s="133" t="s">
        <v>45</v>
      </c>
      <c r="CJ59" s="133"/>
      <c r="CK59" s="79"/>
      <c r="CL59" s="62"/>
      <c r="CM59" s="9"/>
      <c r="CN59" s="9"/>
      <c r="CO59" s="9"/>
      <c r="CP59" s="9"/>
      <c r="CQ59" s="9"/>
      <c r="CR59" s="9"/>
    </row>
    <row r="60" spans="1:96" s="19" customFormat="1" ht="191.4" customHeight="1" x14ac:dyDescent="0.3">
      <c r="A60" s="4" t="s">
        <v>907</v>
      </c>
      <c r="B60" s="5" t="s">
        <v>90</v>
      </c>
      <c r="C60" s="5" t="s">
        <v>91</v>
      </c>
      <c r="D60" s="5" t="s">
        <v>92</v>
      </c>
      <c r="E60" s="10" t="s">
        <v>182</v>
      </c>
      <c r="F60" s="130" t="s">
        <v>549</v>
      </c>
      <c r="G60" s="327" t="s">
        <v>548</v>
      </c>
      <c r="H60" s="130" t="s">
        <v>167</v>
      </c>
      <c r="I60" s="14" t="s">
        <v>904</v>
      </c>
      <c r="J60" s="9" t="s">
        <v>96</v>
      </c>
      <c r="K60" s="10">
        <v>2025</v>
      </c>
      <c r="L60" s="11" t="s">
        <v>46</v>
      </c>
      <c r="M60" s="11" t="s">
        <v>47</v>
      </c>
      <c r="N60" s="11" t="s">
        <v>47</v>
      </c>
      <c r="O60" s="336">
        <v>6</v>
      </c>
      <c r="P60" s="36" t="s">
        <v>912</v>
      </c>
      <c r="Q60" s="13"/>
      <c r="R60" s="14" t="s">
        <v>48</v>
      </c>
      <c r="S60" s="15" t="s">
        <v>49</v>
      </c>
      <c r="T60" s="15" t="s">
        <v>50</v>
      </c>
      <c r="U60" s="9" t="s">
        <v>51</v>
      </c>
      <c r="V60" s="9" t="s">
        <v>52</v>
      </c>
      <c r="W60" s="9" t="s">
        <v>53</v>
      </c>
      <c r="X60" s="9" t="s">
        <v>54</v>
      </c>
      <c r="Y60" s="16"/>
      <c r="Z60" s="21"/>
      <c r="AA60" s="18"/>
      <c r="AB60" s="18"/>
      <c r="AC60" s="55">
        <v>1</v>
      </c>
      <c r="AD60" s="18">
        <f t="shared" si="45"/>
        <v>1</v>
      </c>
      <c r="AE60" s="38"/>
      <c r="AF60" s="38"/>
      <c r="AG60" s="38">
        <v>2780</v>
      </c>
      <c r="AH60" s="38">
        <f t="shared" si="1"/>
        <v>2780</v>
      </c>
      <c r="AI60" s="38"/>
      <c r="AJ60" s="38"/>
      <c r="AK60" s="359"/>
      <c r="AL60" s="359"/>
      <c r="AM60" s="74"/>
      <c r="AN60" s="38"/>
      <c r="AO60" s="38"/>
      <c r="AP60" s="74"/>
      <c r="AQ60" s="38"/>
      <c r="AR60" s="38"/>
      <c r="AS60" s="74"/>
      <c r="AT60" s="38"/>
      <c r="AU60" s="38"/>
      <c r="AV60" s="38"/>
      <c r="AW60" s="38"/>
      <c r="AX60" s="38"/>
      <c r="AY60" s="38"/>
      <c r="AZ60" s="38"/>
      <c r="BA60" s="38"/>
      <c r="BB60" s="38">
        <v>0</v>
      </c>
      <c r="BC60" s="74">
        <v>2780</v>
      </c>
      <c r="BD60" s="74"/>
      <c r="BE60" s="38">
        <f t="shared" si="11"/>
        <v>2780</v>
      </c>
      <c r="BF60" s="38"/>
      <c r="BG60" s="38"/>
      <c r="BH60" s="38">
        <f t="shared" si="12"/>
        <v>2780</v>
      </c>
      <c r="BI60" s="38"/>
      <c r="BJ60" s="38">
        <v>300</v>
      </c>
      <c r="BK60" s="38">
        <f t="shared" si="13"/>
        <v>2480</v>
      </c>
      <c r="BL60" s="337" t="s">
        <v>56</v>
      </c>
      <c r="BM60" s="37"/>
      <c r="BN60" s="37"/>
      <c r="BO60" s="32" t="s">
        <v>959</v>
      </c>
      <c r="BP60" s="72">
        <v>104.34</v>
      </c>
      <c r="BQ60" s="72"/>
      <c r="BR60" s="32"/>
      <c r="BS60" s="32"/>
      <c r="BT60" s="32"/>
      <c r="BU60" s="32"/>
      <c r="BV60" s="32"/>
      <c r="BW60" s="34" t="s">
        <v>958</v>
      </c>
      <c r="BX60" s="72">
        <v>104.34</v>
      </c>
      <c r="BY60" s="95"/>
      <c r="BZ60" s="95"/>
      <c r="CA60" s="95"/>
      <c r="CB60" s="95"/>
      <c r="CC60" s="10" t="s">
        <v>957</v>
      </c>
      <c r="CD60" s="72">
        <v>104.34</v>
      </c>
      <c r="CE60" s="72">
        <v>104.34</v>
      </c>
      <c r="CF60" s="781">
        <f t="shared" si="14"/>
        <v>0</v>
      </c>
      <c r="CG60" s="134" t="s">
        <v>974</v>
      </c>
      <c r="CH60" s="134"/>
      <c r="CI60" s="412"/>
      <c r="CJ60" s="412"/>
      <c r="CK60" s="24"/>
      <c r="CL60" s="24"/>
      <c r="CM60" s="24"/>
      <c r="CN60" s="24"/>
      <c r="CO60" s="24"/>
      <c r="CP60" s="9"/>
      <c r="CQ60" s="9"/>
      <c r="CR60" s="9"/>
    </row>
    <row r="61" spans="1:96" s="19" customFormat="1" ht="111.6" customHeight="1" x14ac:dyDescent="0.3">
      <c r="A61" s="4" t="s">
        <v>907</v>
      </c>
      <c r="B61" s="47" t="s">
        <v>90</v>
      </c>
      <c r="C61" s="48" t="s">
        <v>232</v>
      </c>
      <c r="D61" s="48" t="s">
        <v>233</v>
      </c>
      <c r="E61" s="49" t="s">
        <v>189</v>
      </c>
      <c r="F61" s="51" t="s">
        <v>415</v>
      </c>
      <c r="G61" s="325" t="s">
        <v>417</v>
      </c>
      <c r="H61" s="88" t="s">
        <v>167</v>
      </c>
      <c r="I61" s="14" t="s">
        <v>904</v>
      </c>
      <c r="J61" s="9" t="s">
        <v>156</v>
      </c>
      <c r="K61" s="10">
        <v>2025</v>
      </c>
      <c r="L61" s="11" t="s">
        <v>56</v>
      </c>
      <c r="M61" s="11" t="s">
        <v>47</v>
      </c>
      <c r="N61" s="11" t="s">
        <v>47</v>
      </c>
      <c r="O61" s="12" t="s">
        <v>412</v>
      </c>
      <c r="P61" s="36"/>
      <c r="Q61" s="13"/>
      <c r="R61" s="14" t="s">
        <v>48</v>
      </c>
      <c r="S61" s="15" t="s">
        <v>49</v>
      </c>
      <c r="T61" s="15" t="s">
        <v>50</v>
      </c>
      <c r="U61" s="9" t="s">
        <v>51</v>
      </c>
      <c r="V61" s="9" t="s">
        <v>52</v>
      </c>
      <c r="W61" s="9" t="s">
        <v>53</v>
      </c>
      <c r="X61" s="9" t="s">
        <v>54</v>
      </c>
      <c r="Y61" s="16" t="s">
        <v>55</v>
      </c>
      <c r="Z61" s="21"/>
      <c r="AA61" s="55">
        <v>1</v>
      </c>
      <c r="AB61" s="55"/>
      <c r="AC61" s="55"/>
      <c r="AD61" s="18">
        <f t="shared" si="45"/>
        <v>1</v>
      </c>
      <c r="AE61" s="38">
        <v>3240</v>
      </c>
      <c r="AF61" s="38"/>
      <c r="AG61" s="38"/>
      <c r="AH61" s="38">
        <f t="shared" si="1"/>
        <v>3240</v>
      </c>
      <c r="AI61" s="38"/>
      <c r="AJ61" s="38"/>
      <c r="AK61" s="74">
        <v>3240</v>
      </c>
      <c r="AL61" s="359"/>
      <c r="AM61" s="74">
        <f>+Z61+AI61-AJ61+AK61-AL61</f>
        <v>3240</v>
      </c>
      <c r="AN61" s="38"/>
      <c r="AO61" s="38"/>
      <c r="AP61" s="74">
        <f>+AM61+AN61-AO61</f>
        <v>3240</v>
      </c>
      <c r="AQ61" s="38"/>
      <c r="AR61" s="38"/>
      <c r="AS61" s="74">
        <f>+AP61+AQ61-AR61</f>
        <v>3240</v>
      </c>
      <c r="AT61" s="38"/>
      <c r="AU61" s="38"/>
      <c r="AV61" s="38">
        <f>+AS61+AT61-AU61</f>
        <v>3240</v>
      </c>
      <c r="AW61" s="38"/>
      <c r="AX61" s="38"/>
      <c r="AY61" s="38">
        <f>+AV61+AW61-AX61</f>
        <v>3240</v>
      </c>
      <c r="AZ61" s="38"/>
      <c r="BA61" s="38"/>
      <c r="BB61" s="38">
        <f>+AY61+AZ61-BA61</f>
        <v>3240</v>
      </c>
      <c r="BC61" s="74"/>
      <c r="BD61" s="74"/>
      <c r="BE61" s="38">
        <f t="shared" si="11"/>
        <v>3240</v>
      </c>
      <c r="BF61" s="38"/>
      <c r="BG61" s="38"/>
      <c r="BH61" s="38">
        <f t="shared" si="12"/>
        <v>3240</v>
      </c>
      <c r="BI61" s="38"/>
      <c r="BJ61" s="38"/>
      <c r="BK61" s="38">
        <f t="shared" si="13"/>
        <v>3240</v>
      </c>
      <c r="BL61" s="337"/>
      <c r="BM61" s="37"/>
      <c r="BN61" s="131"/>
      <c r="BO61" s="34"/>
      <c r="BP61" s="34"/>
      <c r="BQ61" s="34"/>
      <c r="BR61" s="34"/>
      <c r="BS61" s="34"/>
      <c r="BT61" s="34"/>
      <c r="BU61" s="34"/>
      <c r="BV61" s="34"/>
      <c r="BW61" s="95"/>
      <c r="BX61" s="95"/>
      <c r="BY61" s="95"/>
      <c r="BZ61" s="95"/>
      <c r="CA61" s="95"/>
      <c r="CB61" s="95"/>
      <c r="CC61" s="10" t="s">
        <v>445</v>
      </c>
      <c r="CD61" s="67">
        <v>3240</v>
      </c>
      <c r="CE61" s="67">
        <v>3240</v>
      </c>
      <c r="CF61" s="781">
        <f t="shared" si="14"/>
        <v>0</v>
      </c>
      <c r="CG61" s="133" t="s">
        <v>544</v>
      </c>
      <c r="CH61" s="133" t="s">
        <v>544</v>
      </c>
      <c r="CI61" s="133" t="s">
        <v>544</v>
      </c>
      <c r="CJ61" s="133"/>
      <c r="CK61" s="8"/>
      <c r="CL61" s="8"/>
      <c r="CM61" s="8"/>
      <c r="CN61" s="8"/>
      <c r="CO61" s="8"/>
      <c r="CP61" s="9"/>
      <c r="CQ61" s="9" t="s">
        <v>469</v>
      </c>
      <c r="CR61" s="9" t="s">
        <v>440</v>
      </c>
    </row>
    <row r="62" spans="1:96" s="19" customFormat="1" ht="139.19999999999999" customHeight="1" x14ac:dyDescent="0.3">
      <c r="A62" s="4" t="s">
        <v>907</v>
      </c>
      <c r="B62" s="47" t="s">
        <v>90</v>
      </c>
      <c r="C62" s="48" t="s">
        <v>232</v>
      </c>
      <c r="D62" s="48" t="s">
        <v>233</v>
      </c>
      <c r="E62" s="49" t="s">
        <v>435</v>
      </c>
      <c r="F62" s="51" t="s">
        <v>416</v>
      </c>
      <c r="G62" s="325" t="s">
        <v>417</v>
      </c>
      <c r="H62" s="88" t="s">
        <v>167</v>
      </c>
      <c r="I62" s="14" t="s">
        <v>904</v>
      </c>
      <c r="J62" s="9" t="s">
        <v>156</v>
      </c>
      <c r="K62" s="10">
        <v>2025</v>
      </c>
      <c r="L62" s="11" t="s">
        <v>56</v>
      </c>
      <c r="M62" s="11" t="s">
        <v>47</v>
      </c>
      <c r="N62" s="11" t="s">
        <v>47</v>
      </c>
      <c r="O62" s="12" t="s">
        <v>412</v>
      </c>
      <c r="P62" s="36"/>
      <c r="Q62" s="13"/>
      <c r="R62" s="14" t="s">
        <v>48</v>
      </c>
      <c r="S62" s="15" t="s">
        <v>49</v>
      </c>
      <c r="T62" s="15" t="s">
        <v>50</v>
      </c>
      <c r="U62" s="9" t="s">
        <v>51</v>
      </c>
      <c r="V62" s="9" t="s">
        <v>52</v>
      </c>
      <c r="W62" s="9" t="s">
        <v>53</v>
      </c>
      <c r="X62" s="9" t="s">
        <v>54</v>
      </c>
      <c r="Y62" s="16" t="s">
        <v>55</v>
      </c>
      <c r="Z62" s="21"/>
      <c r="AA62" s="55">
        <v>1</v>
      </c>
      <c r="AB62" s="55"/>
      <c r="AC62" s="55"/>
      <c r="AD62" s="18">
        <f t="shared" si="45"/>
        <v>1</v>
      </c>
      <c r="AE62" s="38">
        <v>3078</v>
      </c>
      <c r="AF62" s="38"/>
      <c r="AG62" s="38"/>
      <c r="AH62" s="38">
        <f t="shared" si="1"/>
        <v>3078</v>
      </c>
      <c r="AI62" s="38"/>
      <c r="AJ62" s="38"/>
      <c r="AK62" s="74">
        <v>3078</v>
      </c>
      <c r="AL62" s="359"/>
      <c r="AM62" s="74">
        <f>+Z62+AI62-AJ62+AK62-AL62</f>
        <v>3078</v>
      </c>
      <c r="AN62" s="38"/>
      <c r="AO62" s="38"/>
      <c r="AP62" s="74">
        <f>+AM62+AN62-AO62</f>
        <v>3078</v>
      </c>
      <c r="AQ62" s="38"/>
      <c r="AR62" s="38"/>
      <c r="AS62" s="74">
        <f>+AP62+AQ62-AR62</f>
        <v>3078</v>
      </c>
      <c r="AT62" s="38"/>
      <c r="AU62" s="38"/>
      <c r="AV62" s="38">
        <f>+AS62+AT62-AU62</f>
        <v>3078</v>
      </c>
      <c r="AW62" s="38"/>
      <c r="AX62" s="38"/>
      <c r="AY62" s="38">
        <f>+AV62+AW62-AX62</f>
        <v>3078</v>
      </c>
      <c r="AZ62" s="38"/>
      <c r="BA62" s="38"/>
      <c r="BB62" s="38">
        <f>+AY62+AZ62-BA62</f>
        <v>3078</v>
      </c>
      <c r="BC62" s="74"/>
      <c r="BD62" s="74"/>
      <c r="BE62" s="38">
        <f t="shared" si="11"/>
        <v>3078</v>
      </c>
      <c r="BF62" s="38"/>
      <c r="BG62" s="38"/>
      <c r="BH62" s="38">
        <f t="shared" si="12"/>
        <v>3078</v>
      </c>
      <c r="BI62" s="38"/>
      <c r="BJ62" s="38"/>
      <c r="BK62" s="38">
        <f t="shared" si="13"/>
        <v>3078</v>
      </c>
      <c r="BL62" s="337"/>
      <c r="BM62" s="37"/>
      <c r="BN62" s="131"/>
      <c r="BO62" s="34"/>
      <c r="BP62" s="34"/>
      <c r="BQ62" s="34"/>
      <c r="BR62" s="34"/>
      <c r="BS62" s="34"/>
      <c r="BT62" s="34"/>
      <c r="BU62" s="34"/>
      <c r="BV62" s="34"/>
      <c r="BW62" s="95"/>
      <c r="BX62" s="95"/>
      <c r="BY62" s="95"/>
      <c r="BZ62" s="95"/>
      <c r="CA62" s="95"/>
      <c r="CB62" s="95"/>
      <c r="CC62" s="10" t="s">
        <v>445</v>
      </c>
      <c r="CD62" s="67">
        <v>3078</v>
      </c>
      <c r="CE62" s="67">
        <v>3078</v>
      </c>
      <c r="CF62" s="781">
        <f t="shared" si="14"/>
        <v>0</v>
      </c>
      <c r="CG62" s="133" t="s">
        <v>544</v>
      </c>
      <c r="CH62" s="133" t="s">
        <v>544</v>
      </c>
      <c r="CI62" s="133" t="s">
        <v>544</v>
      </c>
      <c r="CJ62" s="133"/>
      <c r="CK62" s="8"/>
      <c r="CL62" s="8"/>
      <c r="CM62" s="8"/>
      <c r="CN62" s="8"/>
      <c r="CO62" s="8"/>
      <c r="CP62" s="9"/>
      <c r="CQ62" s="9" t="s">
        <v>469</v>
      </c>
      <c r="CR62" s="9" t="s">
        <v>440</v>
      </c>
    </row>
    <row r="63" spans="1:96" s="19" customFormat="1" ht="100.5" customHeight="1" x14ac:dyDescent="0.3">
      <c r="A63" s="4" t="s">
        <v>907</v>
      </c>
      <c r="B63" s="47" t="s">
        <v>90</v>
      </c>
      <c r="C63" s="48" t="s">
        <v>232</v>
      </c>
      <c r="D63" s="48" t="s">
        <v>233</v>
      </c>
      <c r="E63" s="49" t="s">
        <v>171</v>
      </c>
      <c r="F63" s="51" t="s">
        <v>408</v>
      </c>
      <c r="G63" s="325" t="s">
        <v>418</v>
      </c>
      <c r="H63" s="88" t="s">
        <v>167</v>
      </c>
      <c r="I63" s="14" t="s">
        <v>904</v>
      </c>
      <c r="J63" s="9" t="s">
        <v>156</v>
      </c>
      <c r="K63" s="10">
        <v>2025</v>
      </c>
      <c r="L63" s="11" t="s">
        <v>56</v>
      </c>
      <c r="M63" s="11" t="s">
        <v>47</v>
      </c>
      <c r="N63" s="11" t="s">
        <v>47</v>
      </c>
      <c r="O63" s="12" t="s">
        <v>412</v>
      </c>
      <c r="P63" s="36"/>
      <c r="Q63" s="13"/>
      <c r="R63" s="14" t="s">
        <v>48</v>
      </c>
      <c r="S63" s="15" t="s">
        <v>49</v>
      </c>
      <c r="T63" s="15" t="s">
        <v>50</v>
      </c>
      <c r="U63" s="9" t="s">
        <v>51</v>
      </c>
      <c r="V63" s="9" t="s">
        <v>52</v>
      </c>
      <c r="W63" s="9" t="s">
        <v>53</v>
      </c>
      <c r="X63" s="9" t="s">
        <v>54</v>
      </c>
      <c r="Y63" s="16" t="s">
        <v>55</v>
      </c>
      <c r="Z63" s="21"/>
      <c r="AA63" s="55">
        <v>1</v>
      </c>
      <c r="AB63" s="55"/>
      <c r="AC63" s="55"/>
      <c r="AD63" s="18">
        <f t="shared" si="45"/>
        <v>1</v>
      </c>
      <c r="AE63" s="38">
        <v>5100</v>
      </c>
      <c r="AF63" s="38"/>
      <c r="AG63" s="38"/>
      <c r="AH63" s="38">
        <f t="shared" si="1"/>
        <v>5100</v>
      </c>
      <c r="AI63" s="38"/>
      <c r="AJ63" s="38"/>
      <c r="AK63" s="74">
        <v>5100</v>
      </c>
      <c r="AL63" s="359"/>
      <c r="AM63" s="74">
        <f>+Z63+AI63-AJ63+AK63-AL63</f>
        <v>5100</v>
      </c>
      <c r="AN63" s="38"/>
      <c r="AO63" s="38"/>
      <c r="AP63" s="74">
        <f>+AM63+AN63-AO63</f>
        <v>5100</v>
      </c>
      <c r="AQ63" s="38"/>
      <c r="AR63" s="38"/>
      <c r="AS63" s="74">
        <f>+AP63+AQ63-AR63</f>
        <v>5100</v>
      </c>
      <c r="AT63" s="38"/>
      <c r="AU63" s="38"/>
      <c r="AV63" s="38">
        <f>+AS63+AT63-AU63</f>
        <v>5100</v>
      </c>
      <c r="AW63" s="38"/>
      <c r="AX63" s="38"/>
      <c r="AY63" s="38">
        <f>+AV63+AW63-AX63</f>
        <v>5100</v>
      </c>
      <c r="AZ63" s="38"/>
      <c r="BA63" s="38"/>
      <c r="BB63" s="38">
        <f>+AY63+AZ63-BA63</f>
        <v>5100</v>
      </c>
      <c r="BC63" s="74"/>
      <c r="BD63" s="74"/>
      <c r="BE63" s="38">
        <f t="shared" si="11"/>
        <v>5100</v>
      </c>
      <c r="BF63" s="38"/>
      <c r="BG63" s="38"/>
      <c r="BH63" s="38">
        <f t="shared" si="12"/>
        <v>5100</v>
      </c>
      <c r="BI63" s="38"/>
      <c r="BJ63" s="38"/>
      <c r="BK63" s="38">
        <f t="shared" si="13"/>
        <v>5100</v>
      </c>
      <c r="BL63" s="337"/>
      <c r="BM63" s="37"/>
      <c r="BN63" s="131"/>
      <c r="BO63" s="34"/>
      <c r="BP63" s="34"/>
      <c r="BQ63" s="34"/>
      <c r="BR63" s="34"/>
      <c r="BS63" s="34"/>
      <c r="BT63" s="34"/>
      <c r="BU63" s="34"/>
      <c r="BV63" s="34"/>
      <c r="BW63" s="95"/>
      <c r="BX63" s="95"/>
      <c r="BY63" s="95"/>
      <c r="BZ63" s="95"/>
      <c r="CA63" s="95"/>
      <c r="CB63" s="95"/>
      <c r="CC63" s="10" t="s">
        <v>431</v>
      </c>
      <c r="CD63" s="67">
        <v>5100</v>
      </c>
      <c r="CE63" s="67">
        <v>5100</v>
      </c>
      <c r="CF63" s="781">
        <f t="shared" si="14"/>
        <v>0</v>
      </c>
      <c r="CG63" s="133" t="s">
        <v>544</v>
      </c>
      <c r="CH63" s="133" t="s">
        <v>544</v>
      </c>
      <c r="CI63" s="133" t="s">
        <v>544</v>
      </c>
      <c r="CJ63" s="133"/>
      <c r="CK63" s="8"/>
      <c r="CL63" s="8"/>
      <c r="CM63" s="8"/>
      <c r="CN63" s="8"/>
      <c r="CO63" s="8"/>
      <c r="CP63" s="9"/>
      <c r="CQ63" s="9" t="s">
        <v>469</v>
      </c>
      <c r="CR63" s="9" t="s">
        <v>440</v>
      </c>
    </row>
    <row r="64" spans="1:96" s="19" customFormat="1" ht="104.4" customHeight="1" x14ac:dyDescent="0.3">
      <c r="A64" s="4" t="s">
        <v>907</v>
      </c>
      <c r="B64" s="47" t="s">
        <v>90</v>
      </c>
      <c r="C64" s="48" t="s">
        <v>232</v>
      </c>
      <c r="D64" s="48" t="s">
        <v>233</v>
      </c>
      <c r="E64" s="49" t="s">
        <v>304</v>
      </c>
      <c r="F64" s="51" t="s">
        <v>411</v>
      </c>
      <c r="G64" s="325" t="s">
        <v>420</v>
      </c>
      <c r="H64" s="88" t="s">
        <v>167</v>
      </c>
      <c r="I64" s="14" t="s">
        <v>904</v>
      </c>
      <c r="J64" s="9" t="s">
        <v>156</v>
      </c>
      <c r="K64" s="10">
        <v>2025</v>
      </c>
      <c r="L64" s="11" t="s">
        <v>56</v>
      </c>
      <c r="M64" s="11" t="s">
        <v>47</v>
      </c>
      <c r="N64" s="11" t="s">
        <v>47</v>
      </c>
      <c r="O64" s="12" t="s">
        <v>412</v>
      </c>
      <c r="P64" s="36"/>
      <c r="Q64" s="13"/>
      <c r="R64" s="14" t="s">
        <v>48</v>
      </c>
      <c r="S64" s="15" t="s">
        <v>49</v>
      </c>
      <c r="T64" s="15" t="s">
        <v>50</v>
      </c>
      <c r="U64" s="9" t="s">
        <v>51</v>
      </c>
      <c r="V64" s="9" t="s">
        <v>52</v>
      </c>
      <c r="W64" s="9" t="s">
        <v>53</v>
      </c>
      <c r="X64" s="9" t="s">
        <v>54</v>
      </c>
      <c r="Y64" s="16" t="s">
        <v>55</v>
      </c>
      <c r="Z64" s="21"/>
      <c r="AA64" s="55">
        <v>1</v>
      </c>
      <c r="AB64" s="55"/>
      <c r="AC64" s="55"/>
      <c r="AD64" s="18">
        <f t="shared" si="45"/>
        <v>1</v>
      </c>
      <c r="AE64" s="38">
        <v>3801.39</v>
      </c>
      <c r="AF64" s="38"/>
      <c r="AG64" s="38"/>
      <c r="AH64" s="38">
        <f t="shared" si="1"/>
        <v>3801.39</v>
      </c>
      <c r="AI64" s="38"/>
      <c r="AJ64" s="38"/>
      <c r="AK64" s="74">
        <v>3801.39</v>
      </c>
      <c r="AL64" s="359"/>
      <c r="AM64" s="74">
        <f>+Z64+AI64-AJ64+AK64-AL64</f>
        <v>3801.39</v>
      </c>
      <c r="AN64" s="38"/>
      <c r="AO64" s="38"/>
      <c r="AP64" s="74">
        <f>+AM64+AN64-AO64</f>
        <v>3801.39</v>
      </c>
      <c r="AQ64" s="38"/>
      <c r="AR64" s="38"/>
      <c r="AS64" s="74">
        <f>+AP64+AQ64-AR64</f>
        <v>3801.39</v>
      </c>
      <c r="AT64" s="38"/>
      <c r="AU64" s="38"/>
      <c r="AV64" s="38">
        <f>+AS64+AT64-AU64</f>
        <v>3801.39</v>
      </c>
      <c r="AW64" s="38"/>
      <c r="AX64" s="38"/>
      <c r="AY64" s="38">
        <f>+AV64+AW64-AX64</f>
        <v>3801.39</v>
      </c>
      <c r="AZ64" s="38"/>
      <c r="BA64" s="38"/>
      <c r="BB64" s="38">
        <f>+AY64+AZ64-BA64</f>
        <v>3801.39</v>
      </c>
      <c r="BC64" s="74"/>
      <c r="BD64" s="74"/>
      <c r="BE64" s="38">
        <f t="shared" si="11"/>
        <v>3801.39</v>
      </c>
      <c r="BF64" s="38"/>
      <c r="BG64" s="38"/>
      <c r="BH64" s="38">
        <f t="shared" si="12"/>
        <v>3801.39</v>
      </c>
      <c r="BI64" s="38"/>
      <c r="BJ64" s="38"/>
      <c r="BK64" s="38">
        <f t="shared" si="13"/>
        <v>3801.39</v>
      </c>
      <c r="BL64" s="337"/>
      <c r="BM64" s="37"/>
      <c r="BN64" s="131"/>
      <c r="BO64" s="34"/>
      <c r="BP64" s="34"/>
      <c r="BQ64" s="34"/>
      <c r="BR64" s="34"/>
      <c r="BS64" s="34"/>
      <c r="BT64" s="34"/>
      <c r="BU64" s="34"/>
      <c r="BV64" s="34"/>
      <c r="BW64" s="95"/>
      <c r="BX64" s="95"/>
      <c r="BY64" s="95"/>
      <c r="BZ64" s="95"/>
      <c r="CA64" s="95"/>
      <c r="CB64" s="95"/>
      <c r="CC64" s="9" t="s">
        <v>516</v>
      </c>
      <c r="CD64" s="38">
        <f>3801.39-3801.39+3801.39</f>
        <v>3801.39</v>
      </c>
      <c r="CE64" s="38">
        <f>3801.39-3801.39+3801.39</f>
        <v>3801.39</v>
      </c>
      <c r="CF64" s="781">
        <f t="shared" si="14"/>
        <v>0</v>
      </c>
      <c r="CG64" s="133" t="s">
        <v>544</v>
      </c>
      <c r="CH64" s="133" t="s">
        <v>544</v>
      </c>
      <c r="CI64" s="133" t="s">
        <v>544</v>
      </c>
      <c r="CJ64" s="133"/>
      <c r="CK64" s="8"/>
      <c r="CL64" s="8"/>
      <c r="CM64" s="8"/>
      <c r="CN64" s="8"/>
      <c r="CO64" s="8"/>
      <c r="CP64" s="9"/>
      <c r="CQ64" s="9" t="s">
        <v>469</v>
      </c>
      <c r="CR64" s="9" t="s">
        <v>440</v>
      </c>
    </row>
    <row r="65" spans="1:96" s="19" customFormat="1" ht="171.75" customHeight="1" x14ac:dyDescent="0.3">
      <c r="A65" s="4" t="s">
        <v>907</v>
      </c>
      <c r="B65" s="47" t="s">
        <v>90</v>
      </c>
      <c r="C65" s="48" t="s">
        <v>232</v>
      </c>
      <c r="D65" s="48" t="s">
        <v>233</v>
      </c>
      <c r="E65" s="49" t="s">
        <v>238</v>
      </c>
      <c r="F65" s="52" t="s">
        <v>239</v>
      </c>
      <c r="G65" s="325" t="s">
        <v>240</v>
      </c>
      <c r="H65" s="88" t="s">
        <v>167</v>
      </c>
      <c r="I65" s="14" t="s">
        <v>904</v>
      </c>
      <c r="J65" s="9" t="s">
        <v>96</v>
      </c>
      <c r="K65" s="10">
        <v>2025</v>
      </c>
      <c r="L65" s="11" t="s">
        <v>56</v>
      </c>
      <c r="M65" s="11" t="s">
        <v>47</v>
      </c>
      <c r="N65" s="11" t="s">
        <v>47</v>
      </c>
      <c r="O65" s="12">
        <v>1</v>
      </c>
      <c r="P65" s="36" t="s">
        <v>241</v>
      </c>
      <c r="Q65" s="13"/>
      <c r="R65" s="14" t="s">
        <v>48</v>
      </c>
      <c r="S65" s="15" t="s">
        <v>49</v>
      </c>
      <c r="T65" s="15" t="s">
        <v>50</v>
      </c>
      <c r="U65" s="7" t="s">
        <v>160</v>
      </c>
      <c r="V65" s="7" t="s">
        <v>161</v>
      </c>
      <c r="W65" s="7" t="s">
        <v>162</v>
      </c>
      <c r="X65" s="7" t="s">
        <v>163</v>
      </c>
      <c r="Y65" s="16" t="s">
        <v>55</v>
      </c>
      <c r="Z65" s="21">
        <v>1920</v>
      </c>
      <c r="AA65" s="55">
        <v>0.33329999999999999</v>
      </c>
      <c r="AB65" s="55">
        <v>0.33329999999999999</v>
      </c>
      <c r="AC65" s="55">
        <v>0.33329999999999999</v>
      </c>
      <c r="AD65" s="18">
        <f t="shared" si="45"/>
        <v>0.99990000000000001</v>
      </c>
      <c r="AE65" s="38">
        <v>424.89000000000004</v>
      </c>
      <c r="AF65" s="38">
        <v>424.89000000000004</v>
      </c>
      <c r="AG65" s="38">
        <v>424.89000000000004</v>
      </c>
      <c r="AH65" s="38">
        <f>+AE65+AF65+AG65</f>
        <v>1274.67</v>
      </c>
      <c r="AI65" s="38"/>
      <c r="AJ65" s="38"/>
      <c r="AK65" s="359"/>
      <c r="AL65" s="359"/>
      <c r="AM65" s="74">
        <f>+Z65+AI65-AJ65+AK65-AL65</f>
        <v>1920</v>
      </c>
      <c r="AN65" s="38"/>
      <c r="AO65" s="38"/>
      <c r="AP65" s="74">
        <f>+AM65+AN65-AO65</f>
        <v>1920</v>
      </c>
      <c r="AQ65" s="38"/>
      <c r="AR65" s="38"/>
      <c r="AS65" s="74">
        <f>+AP65+AQ65-AR65</f>
        <v>1920</v>
      </c>
      <c r="AT65" s="38"/>
      <c r="AU65" s="38"/>
      <c r="AV65" s="38">
        <f>+AS65+AT65-AU65</f>
        <v>1920</v>
      </c>
      <c r="AW65" s="38"/>
      <c r="AX65" s="38"/>
      <c r="AY65" s="38">
        <f>+AV65+AW65-AX65</f>
        <v>1920</v>
      </c>
      <c r="AZ65" s="38"/>
      <c r="BA65" s="38"/>
      <c r="BB65" s="38">
        <f>+AY65+AZ65-BA65</f>
        <v>1920</v>
      </c>
      <c r="BC65" s="74"/>
      <c r="BD65" s="74">
        <v>645.32999999999993</v>
      </c>
      <c r="BE65" s="38">
        <f t="shared" si="11"/>
        <v>1274.67</v>
      </c>
      <c r="BF65" s="38"/>
      <c r="BG65" s="38"/>
      <c r="BH65" s="38">
        <f t="shared" si="12"/>
        <v>1274.67</v>
      </c>
      <c r="BI65" s="38"/>
      <c r="BJ65" s="38"/>
      <c r="BK65" s="38">
        <f t="shared" si="13"/>
        <v>1274.67</v>
      </c>
      <c r="BL65" s="337" t="s">
        <v>177</v>
      </c>
      <c r="BM65" s="38">
        <v>0</v>
      </c>
      <c r="BN65" s="337"/>
      <c r="BO65" s="32" t="s">
        <v>388</v>
      </c>
      <c r="BP65" s="67">
        <v>1920</v>
      </c>
      <c r="BQ65" s="67"/>
      <c r="BR65" s="34"/>
      <c r="BS65" s="34"/>
      <c r="BT65" s="34"/>
      <c r="BU65" s="34"/>
      <c r="BV65" s="34"/>
      <c r="BW65" s="34" t="s">
        <v>389</v>
      </c>
      <c r="BX65" s="67">
        <v>1920</v>
      </c>
      <c r="BY65" s="95"/>
      <c r="BZ65" s="95"/>
      <c r="CA65" s="95"/>
      <c r="CB65" s="95"/>
      <c r="CC65" s="10" t="s">
        <v>389</v>
      </c>
      <c r="CD65" s="67">
        <v>1274.67</v>
      </c>
      <c r="CE65" s="67">
        <v>1274.67</v>
      </c>
      <c r="CF65" s="781">
        <f t="shared" si="14"/>
        <v>0</v>
      </c>
      <c r="CG65" s="133" t="s">
        <v>544</v>
      </c>
      <c r="CH65" s="133" t="s">
        <v>544</v>
      </c>
      <c r="CI65" s="133" t="s">
        <v>544</v>
      </c>
      <c r="CJ65" s="133"/>
      <c r="CK65" s="8" t="s">
        <v>45</v>
      </c>
      <c r="CL65" s="8" t="s">
        <v>45</v>
      </c>
      <c r="CM65" s="8" t="s">
        <v>45</v>
      </c>
      <c r="CN65" s="8" t="s">
        <v>45</v>
      </c>
      <c r="CO65" s="8" t="s">
        <v>45</v>
      </c>
      <c r="CP65" s="9" t="s">
        <v>382</v>
      </c>
      <c r="CQ65" s="9" t="s">
        <v>468</v>
      </c>
      <c r="CR65" s="9" t="s">
        <v>440</v>
      </c>
    </row>
    <row r="66" spans="1:96" s="19" customFormat="1" ht="271.95" customHeight="1" x14ac:dyDescent="0.3">
      <c r="A66" s="4" t="s">
        <v>907</v>
      </c>
      <c r="B66" s="5" t="s">
        <v>90</v>
      </c>
      <c r="C66" s="5" t="s">
        <v>91</v>
      </c>
      <c r="D66" s="5" t="s">
        <v>92</v>
      </c>
      <c r="E66" s="22" t="s">
        <v>164</v>
      </c>
      <c r="F66" s="35" t="s">
        <v>165</v>
      </c>
      <c r="G66" s="32" t="s">
        <v>194</v>
      </c>
      <c r="H66" s="14" t="s">
        <v>167</v>
      </c>
      <c r="I66" s="14" t="s">
        <v>903</v>
      </c>
      <c r="J66" s="9" t="s">
        <v>96</v>
      </c>
      <c r="K66" s="10">
        <v>2025</v>
      </c>
      <c r="L66" s="11" t="s">
        <v>46</v>
      </c>
      <c r="M66" s="11" t="s">
        <v>47</v>
      </c>
      <c r="N66" s="11" t="s">
        <v>47</v>
      </c>
      <c r="O66" s="12">
        <v>8</v>
      </c>
      <c r="P66" s="36" t="s">
        <v>195</v>
      </c>
      <c r="Q66" s="13"/>
      <c r="R66" s="14" t="s">
        <v>48</v>
      </c>
      <c r="S66" s="15" t="s">
        <v>49</v>
      </c>
      <c r="T66" s="15" t="s">
        <v>50</v>
      </c>
      <c r="U66" s="7" t="s">
        <v>160</v>
      </c>
      <c r="V66" s="7" t="s">
        <v>161</v>
      </c>
      <c r="W66" s="7" t="s">
        <v>162</v>
      </c>
      <c r="X66" s="7" t="s">
        <v>163</v>
      </c>
      <c r="Y66" s="16" t="s">
        <v>55</v>
      </c>
      <c r="Z66" s="21">
        <v>13416.67</v>
      </c>
      <c r="AA66" s="55"/>
      <c r="AB66" s="55"/>
      <c r="AC66" s="55">
        <v>1</v>
      </c>
      <c r="AD66" s="18">
        <f t="shared" si="44"/>
        <v>1</v>
      </c>
      <c r="AE66" s="38"/>
      <c r="AF66" s="38"/>
      <c r="AG66" s="38">
        <f>+BK66</f>
        <v>0</v>
      </c>
      <c r="AH66" s="38">
        <f t="shared" si="1"/>
        <v>0</v>
      </c>
      <c r="AI66" s="38"/>
      <c r="AJ66" s="38"/>
      <c r="AK66" s="359"/>
      <c r="AL66" s="359"/>
      <c r="AM66" s="74">
        <f t="shared" si="21"/>
        <v>13416.67</v>
      </c>
      <c r="AN66" s="38"/>
      <c r="AO66" s="38">
        <v>1090</v>
      </c>
      <c r="AP66" s="74">
        <f t="shared" si="22"/>
        <v>12326.67</v>
      </c>
      <c r="AQ66" s="38"/>
      <c r="AR66" s="74"/>
      <c r="AS66" s="74">
        <f t="shared" si="7"/>
        <v>12326.67</v>
      </c>
      <c r="AT66" s="38"/>
      <c r="AU66" s="38">
        <v>510</v>
      </c>
      <c r="AV66" s="38">
        <f t="shared" si="8"/>
        <v>11816.67</v>
      </c>
      <c r="AW66" s="38"/>
      <c r="AX66" s="38"/>
      <c r="AY66" s="38">
        <f t="shared" si="9"/>
        <v>11816.67</v>
      </c>
      <c r="AZ66" s="38"/>
      <c r="BA66" s="38"/>
      <c r="BB66" s="38">
        <f t="shared" si="10"/>
        <v>11816.67</v>
      </c>
      <c r="BC66" s="74"/>
      <c r="BD66" s="74"/>
      <c r="BE66" s="38">
        <f t="shared" si="11"/>
        <v>11816.67</v>
      </c>
      <c r="BF66" s="38"/>
      <c r="BG66" s="38">
        <v>200</v>
      </c>
      <c r="BH66" s="38">
        <f t="shared" si="12"/>
        <v>11616.67</v>
      </c>
      <c r="BI66" s="38"/>
      <c r="BJ66" s="38">
        <v>11616.67</v>
      </c>
      <c r="BK66" s="38">
        <f t="shared" si="13"/>
        <v>0</v>
      </c>
      <c r="BL66" s="337" t="s">
        <v>177</v>
      </c>
      <c r="BM66" s="67">
        <f>-16791+16791</f>
        <v>0</v>
      </c>
      <c r="BN66" s="337"/>
      <c r="BO66" s="32" t="s">
        <v>1054</v>
      </c>
      <c r="BP66" s="80">
        <f>-11816.67+11816.67-11816+11816</f>
        <v>0</v>
      </c>
      <c r="BQ66" s="80"/>
      <c r="BR66" s="67">
        <f>26658.33-16791+16791</f>
        <v>26658.33</v>
      </c>
      <c r="BS66" s="67"/>
      <c r="BT66" s="67"/>
      <c r="BU66" s="67"/>
      <c r="BV66" s="67"/>
      <c r="BW66" s="32" t="s">
        <v>991</v>
      </c>
      <c r="BX66" s="80">
        <f>-11816.67+11816.67-11816+11816</f>
        <v>0</v>
      </c>
      <c r="BY66" s="67">
        <f>26658.33-16791+16791</f>
        <v>26658.33</v>
      </c>
      <c r="BZ66" s="67"/>
      <c r="CA66" s="67"/>
      <c r="CB66" s="67"/>
      <c r="CC66" s="99"/>
      <c r="CD66" s="96"/>
      <c r="CE66" s="96"/>
      <c r="CF66" s="781">
        <f t="shared" si="14"/>
        <v>0</v>
      </c>
      <c r="CG66" s="135" t="s">
        <v>467</v>
      </c>
      <c r="CH66" s="413">
        <v>0.3</v>
      </c>
      <c r="CI66" s="423">
        <v>45947</v>
      </c>
      <c r="CJ66" s="524" t="s">
        <v>440</v>
      </c>
      <c r="CK66" s="62">
        <v>45727</v>
      </c>
      <c r="CL66" s="62">
        <v>45749</v>
      </c>
      <c r="CM66" s="63" t="s">
        <v>973</v>
      </c>
      <c r="CN66" s="8" t="s">
        <v>339</v>
      </c>
      <c r="CO66" s="9" t="s">
        <v>355</v>
      </c>
      <c r="CP66" s="66" t="str">
        <f>+CO66</f>
        <v>GARCIA RUANO ALEXANDER ALBERTO</v>
      </c>
      <c r="CQ66" s="9" t="s">
        <v>467</v>
      </c>
      <c r="CR66" s="9"/>
    </row>
    <row r="67" spans="1:96" s="19" customFormat="1" ht="150.6" customHeight="1" x14ac:dyDescent="0.3">
      <c r="A67" s="4" t="s">
        <v>907</v>
      </c>
      <c r="B67" s="5" t="s">
        <v>90</v>
      </c>
      <c r="C67" s="5" t="s">
        <v>91</v>
      </c>
      <c r="D67" s="5" t="s">
        <v>92</v>
      </c>
      <c r="E67" s="22" t="s">
        <v>173</v>
      </c>
      <c r="F67" s="8" t="s">
        <v>174</v>
      </c>
      <c r="G67" s="15" t="s">
        <v>353</v>
      </c>
      <c r="H67" s="14" t="s">
        <v>167</v>
      </c>
      <c r="I67" s="14" t="s">
        <v>903</v>
      </c>
      <c r="J67" s="9" t="s">
        <v>96</v>
      </c>
      <c r="K67" s="10">
        <v>2025</v>
      </c>
      <c r="L67" s="11" t="s">
        <v>46</v>
      </c>
      <c r="M67" s="11" t="s">
        <v>47</v>
      </c>
      <c r="N67" s="11" t="s">
        <v>47</v>
      </c>
      <c r="O67" s="12">
        <v>9</v>
      </c>
      <c r="P67" s="4" t="s">
        <v>428</v>
      </c>
      <c r="Q67" s="13"/>
      <c r="R67" s="14" t="s">
        <v>48</v>
      </c>
      <c r="S67" s="15" t="s">
        <v>49</v>
      </c>
      <c r="T67" s="15" t="s">
        <v>50</v>
      </c>
      <c r="U67" s="7" t="s">
        <v>160</v>
      </c>
      <c r="V67" s="7" t="s">
        <v>161</v>
      </c>
      <c r="W67" s="7" t="s">
        <v>162</v>
      </c>
      <c r="X67" s="7" t="s">
        <v>163</v>
      </c>
      <c r="Y67" s="16" t="s">
        <v>55</v>
      </c>
      <c r="Z67" s="21">
        <v>0</v>
      </c>
      <c r="AA67" s="18">
        <v>1</v>
      </c>
      <c r="AB67" s="55"/>
      <c r="AC67" s="55"/>
      <c r="AD67" s="18">
        <f t="shared" si="44"/>
        <v>1</v>
      </c>
      <c r="AE67" s="38">
        <v>5593.4380000000001</v>
      </c>
      <c r="AF67" s="38"/>
      <c r="AG67" s="38"/>
      <c r="AH67" s="38">
        <f t="shared" si="1"/>
        <v>5593.4380000000001</v>
      </c>
      <c r="AI67" s="38"/>
      <c r="AJ67" s="38"/>
      <c r="AK67" s="359"/>
      <c r="AL67" s="359"/>
      <c r="AM67" s="74">
        <f t="shared" si="21"/>
        <v>0</v>
      </c>
      <c r="AN67" s="38">
        <f>+AO21+AO26</f>
        <v>6350.1180000000004</v>
      </c>
      <c r="AO67" s="38"/>
      <c r="AP67" s="74">
        <f t="shared" si="22"/>
        <v>6350.1180000000004</v>
      </c>
      <c r="AQ67" s="38"/>
      <c r="AR67" s="74">
        <v>756.68</v>
      </c>
      <c r="AS67" s="74">
        <f t="shared" si="7"/>
        <v>5593.4380000000001</v>
      </c>
      <c r="AT67" s="38"/>
      <c r="AU67" s="38"/>
      <c r="AV67" s="38">
        <f t="shared" si="8"/>
        <v>5593.4380000000001</v>
      </c>
      <c r="AW67" s="38"/>
      <c r="AX67" s="38"/>
      <c r="AY67" s="38">
        <f t="shared" si="9"/>
        <v>5593.4380000000001</v>
      </c>
      <c r="AZ67" s="38"/>
      <c r="BA67" s="38"/>
      <c r="BB67" s="38">
        <f t="shared" si="10"/>
        <v>5593.4380000000001</v>
      </c>
      <c r="BC67" s="74"/>
      <c r="BD67" s="74"/>
      <c r="BE67" s="38">
        <f t="shared" si="11"/>
        <v>5593.4380000000001</v>
      </c>
      <c r="BF67" s="38"/>
      <c r="BG67" s="38"/>
      <c r="BH67" s="38">
        <f t="shared" si="12"/>
        <v>5593.4380000000001</v>
      </c>
      <c r="BI67" s="38"/>
      <c r="BJ67" s="38"/>
      <c r="BK67" s="38">
        <f t="shared" si="13"/>
        <v>5593.4380000000001</v>
      </c>
      <c r="BL67" s="337" t="s">
        <v>56</v>
      </c>
      <c r="BM67" s="37"/>
      <c r="BN67" s="131"/>
      <c r="BO67" s="32" t="s">
        <v>446</v>
      </c>
      <c r="BP67" s="67">
        <f>50+5543.44</f>
        <v>5593.44</v>
      </c>
      <c r="BQ67" s="67"/>
      <c r="BR67" s="34"/>
      <c r="BS67" s="34"/>
      <c r="BT67" s="34"/>
      <c r="BU67" s="34"/>
      <c r="BV67" s="34"/>
      <c r="BW67" s="32" t="s">
        <v>447</v>
      </c>
      <c r="BX67" s="67">
        <f>50+5543.44</f>
        <v>5593.44</v>
      </c>
      <c r="BY67" s="95"/>
      <c r="BZ67" s="95"/>
      <c r="CA67" s="95"/>
      <c r="CB67" s="95"/>
      <c r="CC67" s="9" t="s">
        <v>1091</v>
      </c>
      <c r="CD67" s="67">
        <f>264.89+436.08+434.13+315.27+193.3+460.8+216.99+50</f>
        <v>2371.46</v>
      </c>
      <c r="CE67" s="67">
        <f>264.89+436.08+434.13+315.27+193.3+460.8+216.99+50</f>
        <v>2371.46</v>
      </c>
      <c r="CF67" s="781">
        <f t="shared" si="14"/>
        <v>0</v>
      </c>
      <c r="CG67" s="133" t="s">
        <v>544</v>
      </c>
      <c r="CH67" s="133" t="s">
        <v>544</v>
      </c>
      <c r="CI67" s="133" t="s">
        <v>544</v>
      </c>
      <c r="CJ67" s="133"/>
      <c r="CK67" s="62">
        <v>45673</v>
      </c>
      <c r="CL67" s="62">
        <v>45677</v>
      </c>
      <c r="CM67" s="9" t="s">
        <v>351</v>
      </c>
      <c r="CN67" s="9" t="s">
        <v>45</v>
      </c>
      <c r="CO67" s="9" t="s">
        <v>339</v>
      </c>
      <c r="CP67" s="9" t="str">
        <f>+CO67</f>
        <v>VELIN VINUEZA OSKAR JESUS</v>
      </c>
      <c r="CQ67" s="9" t="s">
        <v>467</v>
      </c>
      <c r="CR67" s="9" t="s">
        <v>441</v>
      </c>
    </row>
    <row r="68" spans="1:96" s="19" customFormat="1" ht="143.4" customHeight="1" x14ac:dyDescent="0.3">
      <c r="A68" s="4" t="s">
        <v>907</v>
      </c>
      <c r="B68" s="5" t="s">
        <v>90</v>
      </c>
      <c r="C68" s="5" t="s">
        <v>91</v>
      </c>
      <c r="D68" s="5" t="s">
        <v>92</v>
      </c>
      <c r="E68" s="22" t="s">
        <v>142</v>
      </c>
      <c r="F68" s="8" t="s">
        <v>455</v>
      </c>
      <c r="G68" s="32" t="s">
        <v>456</v>
      </c>
      <c r="H68" s="14" t="s">
        <v>167</v>
      </c>
      <c r="I68" s="14" t="s">
        <v>903</v>
      </c>
      <c r="J68" s="9" t="s">
        <v>96</v>
      </c>
      <c r="K68" s="10">
        <v>2025</v>
      </c>
      <c r="L68" s="11" t="s">
        <v>46</v>
      </c>
      <c r="M68" s="11" t="s">
        <v>47</v>
      </c>
      <c r="N68" s="11" t="s">
        <v>47</v>
      </c>
      <c r="O68" s="12">
        <v>20</v>
      </c>
      <c r="P68" s="4" t="s">
        <v>457</v>
      </c>
      <c r="Q68" s="13"/>
      <c r="R68" s="14" t="s">
        <v>48</v>
      </c>
      <c r="S68" s="15" t="s">
        <v>49</v>
      </c>
      <c r="T68" s="15" t="s">
        <v>50</v>
      </c>
      <c r="U68" s="7" t="s">
        <v>160</v>
      </c>
      <c r="V68" s="7" t="s">
        <v>161</v>
      </c>
      <c r="W68" s="7" t="s">
        <v>162</v>
      </c>
      <c r="X68" s="7" t="s">
        <v>163</v>
      </c>
      <c r="Y68" s="16" t="s">
        <v>55</v>
      </c>
      <c r="Z68" s="21">
        <v>0</v>
      </c>
      <c r="AA68" s="18">
        <v>1</v>
      </c>
      <c r="AB68" s="55"/>
      <c r="AC68" s="55"/>
      <c r="AD68" s="18">
        <f t="shared" si="44"/>
        <v>1</v>
      </c>
      <c r="AE68" s="38">
        <v>3149.5</v>
      </c>
      <c r="AF68" s="38"/>
      <c r="AG68" s="38"/>
      <c r="AH68" s="38">
        <f t="shared" si="1"/>
        <v>3149.5</v>
      </c>
      <c r="AI68" s="38"/>
      <c r="AJ68" s="38"/>
      <c r="AK68" s="359"/>
      <c r="AL68" s="359"/>
      <c r="AM68" s="74">
        <f t="shared" si="21"/>
        <v>0</v>
      </c>
      <c r="AN68" s="38"/>
      <c r="AO68" s="38"/>
      <c r="AP68" s="74">
        <f t="shared" si="22"/>
        <v>0</v>
      </c>
      <c r="AQ68" s="38">
        <f>+AR75+AR57+AR67</f>
        <v>2775.72</v>
      </c>
      <c r="AR68" s="74"/>
      <c r="AS68" s="74">
        <f t="shared" si="7"/>
        <v>2775.72</v>
      </c>
      <c r="AT68" s="38">
        <v>650</v>
      </c>
      <c r="AU68" s="38"/>
      <c r="AV68" s="38">
        <f t="shared" si="8"/>
        <v>3425.72</v>
      </c>
      <c r="AW68" s="38"/>
      <c r="AX68" s="38"/>
      <c r="AY68" s="38">
        <f t="shared" si="9"/>
        <v>3425.72</v>
      </c>
      <c r="AZ68" s="38"/>
      <c r="BA68" s="38"/>
      <c r="BB68" s="38">
        <v>3325.72</v>
      </c>
      <c r="BC68" s="74"/>
      <c r="BD68" s="74">
        <v>176.22</v>
      </c>
      <c r="BE68" s="38">
        <f t="shared" si="11"/>
        <v>3149.5</v>
      </c>
      <c r="BF68" s="38"/>
      <c r="BG68" s="38"/>
      <c r="BH68" s="38">
        <f t="shared" si="12"/>
        <v>3149.5</v>
      </c>
      <c r="BI68" s="38"/>
      <c r="BJ68" s="38"/>
      <c r="BK68" s="38">
        <f t="shared" si="13"/>
        <v>3149.5</v>
      </c>
      <c r="BL68" s="337" t="s">
        <v>56</v>
      </c>
      <c r="BM68" s="37"/>
      <c r="BN68" s="131"/>
      <c r="BO68" s="32" t="s">
        <v>505</v>
      </c>
      <c r="BP68" s="38">
        <f>156.5+107.25+59.75+40.5+112.9+127+2648.72</f>
        <v>3252.62</v>
      </c>
      <c r="BQ68" s="38"/>
      <c r="BR68" s="34"/>
      <c r="BS68" s="34"/>
      <c r="BT68" s="34"/>
      <c r="BU68" s="34"/>
      <c r="BV68" s="34"/>
      <c r="BW68" s="109" t="s">
        <v>506</v>
      </c>
      <c r="BX68" s="110">
        <f>156.5+107.25+59.75+40.5+112.9+127+2648.72</f>
        <v>3252.62</v>
      </c>
      <c r="BY68" s="95"/>
      <c r="BZ68" s="95"/>
      <c r="CA68" s="95"/>
      <c r="CB68" s="95"/>
      <c r="CC68" s="9" t="s">
        <v>515</v>
      </c>
      <c r="CD68" s="67">
        <f>152.9+104.25+57.95+39.3+41.68+104.7+869.2+1779.52</f>
        <v>3149.5</v>
      </c>
      <c r="CE68" s="67">
        <f>152.9+104.25+57.95+39.3+41.68+104.7+869.2+1779.52</f>
        <v>3149.5</v>
      </c>
      <c r="CF68" s="781">
        <f t="shared" si="14"/>
        <v>0</v>
      </c>
      <c r="CG68" s="133" t="s">
        <v>544</v>
      </c>
      <c r="CH68" s="133" t="s">
        <v>544</v>
      </c>
      <c r="CI68" s="133" t="s">
        <v>544</v>
      </c>
      <c r="CJ68" s="133"/>
      <c r="CK68" s="79"/>
      <c r="CL68" s="62"/>
      <c r="CM68" s="9"/>
      <c r="CN68" s="9"/>
      <c r="CO68" s="9"/>
      <c r="CP68" s="9"/>
      <c r="CQ68" s="9" t="s">
        <v>469</v>
      </c>
      <c r="CR68" s="9" t="s">
        <v>440</v>
      </c>
    </row>
    <row r="69" spans="1:96" s="19" customFormat="1" ht="156" customHeight="1" x14ac:dyDescent="0.3">
      <c r="A69" s="4" t="s">
        <v>907</v>
      </c>
      <c r="B69" s="5" t="s">
        <v>90</v>
      </c>
      <c r="C69" s="5" t="s">
        <v>91</v>
      </c>
      <c r="D69" s="5" t="s">
        <v>92</v>
      </c>
      <c r="E69" s="22" t="s">
        <v>164</v>
      </c>
      <c r="F69" s="35" t="s">
        <v>165</v>
      </c>
      <c r="G69" s="32" t="s">
        <v>531</v>
      </c>
      <c r="H69" s="14" t="s">
        <v>167</v>
      </c>
      <c r="I69" s="14" t="s">
        <v>903</v>
      </c>
      <c r="J69" s="9" t="s">
        <v>96</v>
      </c>
      <c r="K69" s="10">
        <v>2025</v>
      </c>
      <c r="L69" s="11" t="s">
        <v>46</v>
      </c>
      <c r="M69" s="11" t="s">
        <v>47</v>
      </c>
      <c r="N69" s="11" t="s">
        <v>47</v>
      </c>
      <c r="O69" s="12">
        <v>2</v>
      </c>
      <c r="P69" s="36" t="s">
        <v>181</v>
      </c>
      <c r="Q69" s="13"/>
      <c r="R69" s="14" t="s">
        <v>48</v>
      </c>
      <c r="S69" s="15" t="s">
        <v>49</v>
      </c>
      <c r="T69" s="15" t="s">
        <v>50</v>
      </c>
      <c r="U69" s="7" t="s">
        <v>160</v>
      </c>
      <c r="V69" s="7" t="s">
        <v>161</v>
      </c>
      <c r="W69" s="7" t="s">
        <v>162</v>
      </c>
      <c r="X69" s="7" t="s">
        <v>163</v>
      </c>
      <c r="Y69" s="16" t="s">
        <v>55</v>
      </c>
      <c r="Z69" s="21">
        <v>3891.38</v>
      </c>
      <c r="AA69" s="55"/>
      <c r="AB69" s="55"/>
      <c r="AC69" s="55">
        <v>1</v>
      </c>
      <c r="AD69" s="18">
        <f>+AA69+AB69+AC69</f>
        <v>1</v>
      </c>
      <c r="AE69" s="38"/>
      <c r="AF69" s="38"/>
      <c r="AG69" s="38">
        <v>1340.4</v>
      </c>
      <c r="AH69" s="38">
        <f t="shared" si="1"/>
        <v>1340.4</v>
      </c>
      <c r="AI69" s="38"/>
      <c r="AJ69" s="38"/>
      <c r="AK69" s="359"/>
      <c r="AL69" s="359"/>
      <c r="AM69" s="74"/>
      <c r="AN69" s="38"/>
      <c r="AO69" s="38"/>
      <c r="AP69" s="74">
        <f>+AM69+AN69-AO69</f>
        <v>0</v>
      </c>
      <c r="AQ69" s="38"/>
      <c r="AR69" s="74"/>
      <c r="AS69" s="74">
        <f>+AP69+AQ69-AR69</f>
        <v>0</v>
      </c>
      <c r="AT69" s="38"/>
      <c r="AU69" s="38"/>
      <c r="AV69" s="38">
        <f>+AS69+AT69-AU69</f>
        <v>0</v>
      </c>
      <c r="AW69" s="38"/>
      <c r="AX69" s="38"/>
      <c r="AY69" s="38">
        <f t="shared" si="9"/>
        <v>0</v>
      </c>
      <c r="AZ69" s="38">
        <v>1340.4</v>
      </c>
      <c r="BA69" s="38"/>
      <c r="BB69" s="38">
        <f t="shared" si="10"/>
        <v>1340.4</v>
      </c>
      <c r="BC69" s="74"/>
      <c r="BD69" s="74"/>
      <c r="BE69" s="38">
        <f t="shared" si="11"/>
        <v>1340.4</v>
      </c>
      <c r="BF69" s="38"/>
      <c r="BG69" s="38"/>
      <c r="BH69" s="38">
        <f t="shared" si="12"/>
        <v>1340.4</v>
      </c>
      <c r="BI69" s="38">
        <v>647</v>
      </c>
      <c r="BJ69" s="38"/>
      <c r="BK69" s="38">
        <f>+BH69+BI69-BJ69</f>
        <v>1987.4</v>
      </c>
      <c r="BL69" s="337" t="s">
        <v>177</v>
      </c>
      <c r="BM69" s="74">
        <f>+-647+1077</f>
        <v>430</v>
      </c>
      <c r="BN69" s="74"/>
      <c r="BO69" s="32" t="s">
        <v>1069</v>
      </c>
      <c r="BP69" s="67">
        <f>647+1340.4</f>
        <v>1987.4</v>
      </c>
      <c r="BQ69" s="67"/>
      <c r="BR69" s="67">
        <v>1077</v>
      </c>
      <c r="BS69" s="67"/>
      <c r="BT69" s="67"/>
      <c r="BU69" s="67"/>
      <c r="BV69" s="67"/>
      <c r="BW69" s="32" t="s">
        <v>1070</v>
      </c>
      <c r="BX69" s="67">
        <f>647+1340.4</f>
        <v>1987.4</v>
      </c>
      <c r="BY69" s="67">
        <v>1077</v>
      </c>
      <c r="BZ69" s="67"/>
      <c r="CA69" s="67"/>
      <c r="CB69" s="67"/>
      <c r="CC69" s="32" t="s">
        <v>1078</v>
      </c>
      <c r="CD69" s="107">
        <f>647+1340.4</f>
        <v>1987.4</v>
      </c>
      <c r="CE69" s="107">
        <f>647+1340.4</f>
        <v>1987.4</v>
      </c>
      <c r="CF69" s="781">
        <f t="shared" si="14"/>
        <v>0</v>
      </c>
      <c r="CG69" s="133" t="s">
        <v>544</v>
      </c>
      <c r="CH69" s="133" t="s">
        <v>544</v>
      </c>
      <c r="CI69" s="133" t="s">
        <v>544</v>
      </c>
      <c r="CJ69" s="133"/>
      <c r="CK69" s="58"/>
      <c r="CL69" s="59"/>
      <c r="CM69" s="63" t="s">
        <v>351</v>
      </c>
      <c r="CN69" s="8" t="s">
        <v>45</v>
      </c>
      <c r="CO69" s="14"/>
      <c r="CP69" s="66" t="str">
        <f>+CM69</f>
        <v>PARRA ZAMBONINO SANTOS NAVIGIO</v>
      </c>
      <c r="CQ69" s="9"/>
      <c r="CR69" s="9"/>
    </row>
    <row r="70" spans="1:96" s="19" customFormat="1" ht="216.75" customHeight="1" x14ac:dyDescent="0.3">
      <c r="A70" s="4" t="s">
        <v>907</v>
      </c>
      <c r="B70" s="5" t="s">
        <v>90</v>
      </c>
      <c r="C70" s="5" t="s">
        <v>91</v>
      </c>
      <c r="D70" s="5" t="s">
        <v>92</v>
      </c>
      <c r="E70" s="10" t="s">
        <v>212</v>
      </c>
      <c r="F70" s="130" t="s">
        <v>409</v>
      </c>
      <c r="G70" s="327" t="s">
        <v>541</v>
      </c>
      <c r="H70" s="130" t="s">
        <v>167</v>
      </c>
      <c r="I70" s="14" t="s">
        <v>903</v>
      </c>
      <c r="J70" s="9" t="s">
        <v>156</v>
      </c>
      <c r="K70" s="10">
        <v>2025</v>
      </c>
      <c r="L70" s="11" t="s">
        <v>46</v>
      </c>
      <c r="M70" s="11" t="s">
        <v>47</v>
      </c>
      <c r="N70" s="11" t="s">
        <v>47</v>
      </c>
      <c r="O70" s="336">
        <v>1</v>
      </c>
      <c r="P70" s="36" t="s">
        <v>914</v>
      </c>
      <c r="Q70" s="13"/>
      <c r="R70" s="14" t="s">
        <v>48</v>
      </c>
      <c r="S70" s="15" t="s">
        <v>49</v>
      </c>
      <c r="T70" s="15" t="s">
        <v>50</v>
      </c>
      <c r="U70" s="7" t="s">
        <v>160</v>
      </c>
      <c r="V70" s="7" t="s">
        <v>161</v>
      </c>
      <c r="W70" s="7" t="s">
        <v>162</v>
      </c>
      <c r="X70" s="7" t="s">
        <v>163</v>
      </c>
      <c r="Y70" s="16" t="s">
        <v>55</v>
      </c>
      <c r="Z70" s="21"/>
      <c r="AA70" s="18"/>
      <c r="AB70" s="18"/>
      <c r="AC70" s="18">
        <v>1</v>
      </c>
      <c r="AD70" s="18">
        <f t="shared" si="44"/>
        <v>1</v>
      </c>
      <c r="AE70" s="38"/>
      <c r="AF70" s="38"/>
      <c r="AG70" s="38">
        <v>2000</v>
      </c>
      <c r="AH70" s="38">
        <f t="shared" si="1"/>
        <v>2000</v>
      </c>
      <c r="AI70" s="38"/>
      <c r="AJ70" s="38"/>
      <c r="AK70" s="359"/>
      <c r="AL70" s="359"/>
      <c r="AM70" s="74"/>
      <c r="AN70" s="38"/>
      <c r="AO70" s="38"/>
      <c r="AP70" s="74"/>
      <c r="AQ70" s="38"/>
      <c r="AR70" s="38"/>
      <c r="AS70" s="74"/>
      <c r="AT70" s="38"/>
      <c r="AU70" s="38"/>
      <c r="AV70" s="38"/>
      <c r="AW70" s="38"/>
      <c r="AX70" s="38"/>
      <c r="AY70" s="38"/>
      <c r="AZ70" s="38"/>
      <c r="BA70" s="38"/>
      <c r="BB70" s="38">
        <v>0</v>
      </c>
      <c r="BC70" s="74">
        <v>2000</v>
      </c>
      <c r="BD70" s="74"/>
      <c r="BE70" s="38">
        <f t="shared" si="11"/>
        <v>2000</v>
      </c>
      <c r="BF70" s="38"/>
      <c r="BG70" s="38"/>
      <c r="BH70" s="38">
        <f t="shared" si="12"/>
        <v>2000</v>
      </c>
      <c r="BI70" s="38"/>
      <c r="BJ70" s="38"/>
      <c r="BK70" s="38">
        <f t="shared" si="13"/>
        <v>2000</v>
      </c>
      <c r="BL70" s="337"/>
      <c r="BM70" s="37">
        <f>104*0.15</f>
        <v>15.6</v>
      </c>
      <c r="BN70" s="37"/>
      <c r="BO70" s="32" t="s">
        <v>951</v>
      </c>
      <c r="BP70" s="107">
        <v>15.83</v>
      </c>
      <c r="BQ70" s="107"/>
      <c r="BR70" s="34"/>
      <c r="BS70" s="34"/>
      <c r="BT70" s="34"/>
      <c r="BU70" s="34"/>
      <c r="BV70" s="34"/>
      <c r="BW70" s="34" t="s">
        <v>952</v>
      </c>
      <c r="BX70" s="107">
        <v>15.83</v>
      </c>
      <c r="BY70" s="96"/>
      <c r="BZ70" s="96"/>
      <c r="CA70" s="96"/>
      <c r="CB70" s="96"/>
      <c r="CC70" s="10" t="s">
        <v>953</v>
      </c>
      <c r="CD70" s="107">
        <v>15.83</v>
      </c>
      <c r="CE70" s="107">
        <v>15.83</v>
      </c>
      <c r="CF70" s="781">
        <f t="shared" si="14"/>
        <v>0</v>
      </c>
      <c r="CG70" s="134" t="s">
        <v>974</v>
      </c>
      <c r="CH70" s="134"/>
      <c r="CI70" s="412"/>
      <c r="CJ70" s="412"/>
      <c r="CK70" s="24"/>
      <c r="CL70" s="24"/>
      <c r="CM70" s="24"/>
      <c r="CN70" s="24"/>
      <c r="CO70" s="24"/>
      <c r="CP70" s="9"/>
      <c r="CQ70" s="9"/>
      <c r="CR70" s="9"/>
    </row>
    <row r="71" spans="1:96" s="19" customFormat="1" ht="216.75" customHeight="1" x14ac:dyDescent="0.3">
      <c r="A71" s="4" t="s">
        <v>907</v>
      </c>
      <c r="B71" s="5" t="s">
        <v>90</v>
      </c>
      <c r="C71" s="5" t="s">
        <v>91</v>
      </c>
      <c r="D71" s="5" t="s">
        <v>92</v>
      </c>
      <c r="E71" s="22" t="s">
        <v>164</v>
      </c>
      <c r="F71" s="130" t="s">
        <v>550</v>
      </c>
      <c r="G71" s="327" t="s">
        <v>551</v>
      </c>
      <c r="H71" s="130"/>
      <c r="I71" s="14" t="s">
        <v>903</v>
      </c>
      <c r="J71" s="9" t="s">
        <v>96</v>
      </c>
      <c r="K71" s="10">
        <v>2025</v>
      </c>
      <c r="L71" s="11" t="s">
        <v>46</v>
      </c>
      <c r="M71" s="11" t="s">
        <v>47</v>
      </c>
      <c r="N71" s="11" t="s">
        <v>47</v>
      </c>
      <c r="O71" s="12">
        <v>1</v>
      </c>
      <c r="P71" s="36" t="s">
        <v>913</v>
      </c>
      <c r="Q71" s="13"/>
      <c r="R71" s="14" t="s">
        <v>48</v>
      </c>
      <c r="S71" s="15" t="s">
        <v>49</v>
      </c>
      <c r="T71" s="15" t="s">
        <v>50</v>
      </c>
      <c r="U71" s="7" t="s">
        <v>160</v>
      </c>
      <c r="V71" s="7" t="s">
        <v>161</v>
      </c>
      <c r="W71" s="7" t="s">
        <v>162</v>
      </c>
      <c r="X71" s="7" t="s">
        <v>163</v>
      </c>
      <c r="Y71" s="16" t="s">
        <v>55</v>
      </c>
      <c r="Z71" s="21"/>
      <c r="AA71" s="18"/>
      <c r="AB71" s="18"/>
      <c r="AC71" s="18">
        <v>1</v>
      </c>
      <c r="AD71" s="18">
        <f t="shared" si="44"/>
        <v>1</v>
      </c>
      <c r="AE71" s="38"/>
      <c r="AF71" s="38"/>
      <c r="AG71" s="38">
        <v>3300</v>
      </c>
      <c r="AH71" s="38">
        <f t="shared" si="1"/>
        <v>3300</v>
      </c>
      <c r="AI71" s="38"/>
      <c r="AJ71" s="38"/>
      <c r="AK71" s="359"/>
      <c r="AL71" s="359"/>
      <c r="AM71" s="74"/>
      <c r="AN71" s="38"/>
      <c r="AO71" s="38"/>
      <c r="AP71" s="74"/>
      <c r="AQ71" s="38"/>
      <c r="AR71" s="38"/>
      <c r="AS71" s="74"/>
      <c r="AT71" s="38"/>
      <c r="AU71" s="38"/>
      <c r="AV71" s="38"/>
      <c r="AW71" s="38"/>
      <c r="AX71" s="38"/>
      <c r="AY71" s="38"/>
      <c r="AZ71" s="38"/>
      <c r="BA71" s="38"/>
      <c r="BB71" s="38"/>
      <c r="BC71" s="74">
        <v>3300</v>
      </c>
      <c r="BD71" s="74"/>
      <c r="BE71" s="38">
        <f t="shared" si="11"/>
        <v>3300</v>
      </c>
      <c r="BF71" s="38"/>
      <c r="BG71" s="38"/>
      <c r="BH71" s="38">
        <f t="shared" si="12"/>
        <v>3300</v>
      </c>
      <c r="BI71" s="38"/>
      <c r="BJ71" s="38"/>
      <c r="BK71" s="38">
        <f t="shared" si="13"/>
        <v>3300</v>
      </c>
      <c r="BL71" s="337" t="s">
        <v>177</v>
      </c>
      <c r="BM71" s="38">
        <v>6700</v>
      </c>
      <c r="BN71" s="38"/>
      <c r="BO71" s="32" t="s">
        <v>967</v>
      </c>
      <c r="BP71" s="67">
        <v>3300</v>
      </c>
      <c r="BQ71" s="67"/>
      <c r="BR71" s="34"/>
      <c r="BS71" s="34"/>
      <c r="BT71" s="34"/>
      <c r="BU71" s="34"/>
      <c r="BV71" s="34"/>
      <c r="BW71" s="106" t="s">
        <v>966</v>
      </c>
      <c r="BX71" s="107">
        <v>3300</v>
      </c>
      <c r="BY71" s="95"/>
      <c r="BZ71" s="95"/>
      <c r="CA71" s="95"/>
      <c r="CB71" s="95"/>
      <c r="CC71" s="10"/>
      <c r="CD71" s="67"/>
      <c r="CE71" s="67"/>
      <c r="CF71" s="781">
        <f t="shared" si="14"/>
        <v>0</v>
      </c>
      <c r="CG71" s="133" t="s">
        <v>544</v>
      </c>
      <c r="CH71" s="133" t="s">
        <v>544</v>
      </c>
      <c r="CI71" s="133" t="s">
        <v>544</v>
      </c>
      <c r="CJ71" s="133"/>
      <c r="CK71" s="24"/>
      <c r="CL71" s="24"/>
      <c r="CM71" s="24"/>
      <c r="CN71" s="24"/>
      <c r="CO71" s="24"/>
      <c r="CP71" s="9"/>
      <c r="CQ71" s="9"/>
      <c r="CR71" s="9"/>
    </row>
    <row r="72" spans="1:96" s="19" customFormat="1" ht="168" customHeight="1" x14ac:dyDescent="0.3">
      <c r="A72" s="4" t="s">
        <v>907</v>
      </c>
      <c r="B72" s="5" t="s">
        <v>90</v>
      </c>
      <c r="C72" s="5" t="s">
        <v>91</v>
      </c>
      <c r="D72" s="5" t="s">
        <v>92</v>
      </c>
      <c r="E72" s="22" t="s">
        <v>164</v>
      </c>
      <c r="F72" s="35" t="s">
        <v>165</v>
      </c>
      <c r="G72" s="32" t="s">
        <v>166</v>
      </c>
      <c r="H72" s="14" t="s">
        <v>167</v>
      </c>
      <c r="I72" s="14" t="s">
        <v>903</v>
      </c>
      <c r="J72" s="9" t="s">
        <v>156</v>
      </c>
      <c r="K72" s="10">
        <v>2025</v>
      </c>
      <c r="L72" s="11" t="s">
        <v>46</v>
      </c>
      <c r="M72" s="11" t="s">
        <v>47</v>
      </c>
      <c r="N72" s="11" t="s">
        <v>47</v>
      </c>
      <c r="O72" s="12">
        <v>2</v>
      </c>
      <c r="P72" s="36" t="s">
        <v>168</v>
      </c>
      <c r="Q72" s="13"/>
      <c r="R72" s="14" t="s">
        <v>48</v>
      </c>
      <c r="S72" s="15" t="s">
        <v>49</v>
      </c>
      <c r="T72" s="15" t="s">
        <v>50</v>
      </c>
      <c r="U72" s="7" t="s">
        <v>160</v>
      </c>
      <c r="V72" s="7" t="s">
        <v>161</v>
      </c>
      <c r="W72" s="7" t="s">
        <v>162</v>
      </c>
      <c r="X72" s="7" t="s">
        <v>163</v>
      </c>
      <c r="Y72" s="16" t="s">
        <v>55</v>
      </c>
      <c r="Z72" s="21">
        <v>1600</v>
      </c>
      <c r="AA72" s="55"/>
      <c r="AB72" s="55"/>
      <c r="AC72" s="55">
        <v>1</v>
      </c>
      <c r="AD72" s="18">
        <f t="shared" ref="AD72:AD90" si="46">+AA72+AB72+AC72</f>
        <v>1</v>
      </c>
      <c r="AE72" s="38"/>
      <c r="AF72" s="38"/>
      <c r="AG72" s="38">
        <v>259.59999999999991</v>
      </c>
      <c r="AH72" s="38">
        <f t="shared" si="1"/>
        <v>259.59999999999991</v>
      </c>
      <c r="AI72" s="38"/>
      <c r="AJ72" s="38"/>
      <c r="AK72" s="359"/>
      <c r="AL72" s="359"/>
      <c r="AM72" s="74">
        <f t="shared" ref="AM72:AM92" si="47">+Z72+AI72-AJ72+AK72-AL72</f>
        <v>1600</v>
      </c>
      <c r="AN72" s="38"/>
      <c r="AO72" s="38"/>
      <c r="AP72" s="74">
        <f t="shared" ref="AP72:AP92" si="48">+AM72+AN72-AO72</f>
        <v>1600</v>
      </c>
      <c r="AQ72" s="38"/>
      <c r="AR72" s="38"/>
      <c r="AS72" s="74">
        <f t="shared" ref="AS72:AS92" si="49">+AP72+AQ72-AR72</f>
        <v>1600</v>
      </c>
      <c r="AT72" s="38"/>
      <c r="AU72" s="38"/>
      <c r="AV72" s="38">
        <f t="shared" ref="AV72:AV92" si="50">+AS72+AT72-AU72</f>
        <v>1600</v>
      </c>
      <c r="AW72" s="38"/>
      <c r="AX72" s="38"/>
      <c r="AY72" s="38">
        <f t="shared" ref="AY72:AY92" si="51">+AV72+AW72-AX72</f>
        <v>1600</v>
      </c>
      <c r="AZ72" s="38"/>
      <c r="BA72" s="38">
        <v>1340.4</v>
      </c>
      <c r="BB72" s="38">
        <f t="shared" ref="BB72:BB98" si="52">+AY72+AZ72-BA72</f>
        <v>259.59999999999991</v>
      </c>
      <c r="BC72" s="74"/>
      <c r="BD72" s="74"/>
      <c r="BE72" s="38">
        <f t="shared" si="11"/>
        <v>259.59999999999991</v>
      </c>
      <c r="BF72" s="38"/>
      <c r="BG72" s="38"/>
      <c r="BH72" s="38">
        <f t="shared" si="12"/>
        <v>259.59999999999991</v>
      </c>
      <c r="BI72" s="38"/>
      <c r="BJ72" s="38"/>
      <c r="BK72" s="38">
        <f t="shared" si="13"/>
        <v>259.59999999999991</v>
      </c>
      <c r="BL72" s="337" t="s">
        <v>56</v>
      </c>
      <c r="BM72" s="131"/>
      <c r="BN72" s="131"/>
      <c r="BO72" s="32" t="s">
        <v>1104</v>
      </c>
      <c r="BP72" s="34">
        <v>60</v>
      </c>
      <c r="BQ72" s="34"/>
      <c r="BR72" s="34"/>
      <c r="BS72" s="34"/>
      <c r="BT72" s="34"/>
      <c r="BU72" s="34"/>
      <c r="BV72" s="34"/>
      <c r="BW72" s="106" t="s">
        <v>1105</v>
      </c>
      <c r="BX72" s="67">
        <v>60</v>
      </c>
      <c r="BY72" s="95"/>
      <c r="BZ72" s="95"/>
      <c r="CA72" s="95"/>
      <c r="CB72" s="95"/>
      <c r="CC72" s="10" t="s">
        <v>1121</v>
      </c>
      <c r="CD72" s="67">
        <v>60</v>
      </c>
      <c r="CE72" s="67">
        <v>60</v>
      </c>
      <c r="CF72" s="781">
        <f t="shared" si="14"/>
        <v>0</v>
      </c>
      <c r="CG72" s="134" t="s">
        <v>974</v>
      </c>
      <c r="CH72" s="134"/>
      <c r="CI72" s="412"/>
      <c r="CJ72" s="412"/>
      <c r="CK72" s="62">
        <v>45693</v>
      </c>
      <c r="CL72" s="62">
        <v>45702</v>
      </c>
      <c r="CM72" s="9" t="s">
        <v>351</v>
      </c>
      <c r="CN72" s="9" t="s">
        <v>45</v>
      </c>
      <c r="CO72" s="9" t="s">
        <v>350</v>
      </c>
      <c r="CP72" s="9" t="str">
        <f>+CM72</f>
        <v>PARRA ZAMBONINO SANTOS NAVIGIO</v>
      </c>
      <c r="CQ72" s="9" t="s">
        <v>467</v>
      </c>
      <c r="CR72" s="75" t="s">
        <v>470</v>
      </c>
    </row>
    <row r="73" spans="1:96" s="19" customFormat="1" ht="121.2" customHeight="1" x14ac:dyDescent="0.3">
      <c r="A73" s="4" t="s">
        <v>907</v>
      </c>
      <c r="B73" s="5" t="s">
        <v>90</v>
      </c>
      <c r="C73" s="5" t="s">
        <v>91</v>
      </c>
      <c r="D73" s="5" t="s">
        <v>92</v>
      </c>
      <c r="E73" s="22" t="s">
        <v>169</v>
      </c>
      <c r="F73" s="8" t="s">
        <v>170</v>
      </c>
      <c r="G73" s="32" t="s">
        <v>166</v>
      </c>
      <c r="H73" s="14" t="s">
        <v>167</v>
      </c>
      <c r="I73" s="14" t="s">
        <v>903</v>
      </c>
      <c r="J73" s="9" t="s">
        <v>156</v>
      </c>
      <c r="K73" s="10">
        <v>2025</v>
      </c>
      <c r="L73" s="11" t="s">
        <v>46</v>
      </c>
      <c r="M73" s="11" t="s">
        <v>47</v>
      </c>
      <c r="N73" s="11" t="s">
        <v>47</v>
      </c>
      <c r="O73" s="12">
        <v>2</v>
      </c>
      <c r="P73" s="36" t="s">
        <v>168</v>
      </c>
      <c r="Q73" s="13"/>
      <c r="R73" s="14" t="s">
        <v>48</v>
      </c>
      <c r="S73" s="15" t="s">
        <v>49</v>
      </c>
      <c r="T73" s="15" t="s">
        <v>50</v>
      </c>
      <c r="U73" s="7" t="s">
        <v>160</v>
      </c>
      <c r="V73" s="7" t="s">
        <v>161</v>
      </c>
      <c r="W73" s="7" t="s">
        <v>162</v>
      </c>
      <c r="X73" s="7" t="s">
        <v>163</v>
      </c>
      <c r="Y73" s="16" t="s">
        <v>55</v>
      </c>
      <c r="Z73" s="21">
        <v>500</v>
      </c>
      <c r="AA73" s="55"/>
      <c r="AB73" s="55"/>
      <c r="AC73" s="55">
        <v>1</v>
      </c>
      <c r="AD73" s="18">
        <f t="shared" si="46"/>
        <v>1</v>
      </c>
      <c r="AE73" s="38"/>
      <c r="AF73" s="38"/>
      <c r="AG73" s="38">
        <v>500</v>
      </c>
      <c r="AH73" s="38">
        <f t="shared" si="1"/>
        <v>500</v>
      </c>
      <c r="AI73" s="38"/>
      <c r="AJ73" s="38"/>
      <c r="AK73" s="359"/>
      <c r="AL73" s="359"/>
      <c r="AM73" s="74">
        <f t="shared" si="47"/>
        <v>500</v>
      </c>
      <c r="AN73" s="38"/>
      <c r="AO73" s="38"/>
      <c r="AP73" s="74">
        <f t="shared" si="48"/>
        <v>500</v>
      </c>
      <c r="AQ73" s="38"/>
      <c r="AR73" s="38"/>
      <c r="AS73" s="74">
        <f t="shared" si="49"/>
        <v>500</v>
      </c>
      <c r="AT73" s="38"/>
      <c r="AU73" s="38"/>
      <c r="AV73" s="38">
        <f t="shared" si="50"/>
        <v>500</v>
      </c>
      <c r="AW73" s="38"/>
      <c r="AX73" s="38"/>
      <c r="AY73" s="38">
        <f t="shared" si="51"/>
        <v>500</v>
      </c>
      <c r="AZ73" s="38"/>
      <c r="BA73" s="38"/>
      <c r="BB73" s="38">
        <f t="shared" si="52"/>
        <v>500</v>
      </c>
      <c r="BC73" s="74"/>
      <c r="BD73" s="74"/>
      <c r="BE73" s="38">
        <f t="shared" si="11"/>
        <v>500</v>
      </c>
      <c r="BF73" s="38"/>
      <c r="BG73" s="38"/>
      <c r="BH73" s="38">
        <f t="shared" si="12"/>
        <v>500</v>
      </c>
      <c r="BI73" s="38"/>
      <c r="BJ73" s="38"/>
      <c r="BK73" s="38">
        <f t="shared" si="13"/>
        <v>500</v>
      </c>
      <c r="BL73" s="337" t="s">
        <v>56</v>
      </c>
      <c r="BM73" s="131"/>
      <c r="BN73" s="131"/>
      <c r="BO73" s="34"/>
      <c r="BP73" s="34"/>
      <c r="BQ73" s="34"/>
      <c r="BR73" s="34"/>
      <c r="BS73" s="34"/>
      <c r="BT73" s="34"/>
      <c r="BU73" s="34"/>
      <c r="BV73" s="34"/>
      <c r="BW73" s="95"/>
      <c r="BX73" s="95"/>
      <c r="BY73" s="95"/>
      <c r="BZ73" s="95"/>
      <c r="CA73" s="95"/>
      <c r="CB73" s="95"/>
      <c r="CC73" s="99"/>
      <c r="CD73" s="96"/>
      <c r="CE73" s="96"/>
      <c r="CF73" s="781">
        <f t="shared" ref="CF73:CF136" si="53">+CE73-CD73</f>
        <v>0</v>
      </c>
      <c r="CG73" s="134" t="s">
        <v>974</v>
      </c>
      <c r="CH73" s="134"/>
      <c r="CI73" s="412"/>
      <c r="CJ73" s="412"/>
      <c r="CK73" s="62">
        <v>45693</v>
      </c>
      <c r="CL73" s="62">
        <v>45702</v>
      </c>
      <c r="CM73" s="9" t="s">
        <v>351</v>
      </c>
      <c r="CN73" s="9" t="s">
        <v>45</v>
      </c>
      <c r="CO73" s="9" t="s">
        <v>350</v>
      </c>
      <c r="CP73" s="9" t="str">
        <f>+CM73</f>
        <v>PARRA ZAMBONINO SANTOS NAVIGIO</v>
      </c>
      <c r="CQ73" s="9" t="s">
        <v>467</v>
      </c>
      <c r="CR73" s="75" t="s">
        <v>470</v>
      </c>
    </row>
    <row r="74" spans="1:96" s="19" customFormat="1" ht="118.95" customHeight="1" x14ac:dyDescent="0.3">
      <c r="A74" s="4" t="s">
        <v>907</v>
      </c>
      <c r="B74" s="5" t="s">
        <v>90</v>
      </c>
      <c r="C74" s="5" t="s">
        <v>91</v>
      </c>
      <c r="D74" s="5" t="s">
        <v>92</v>
      </c>
      <c r="E74" s="22" t="s">
        <v>171</v>
      </c>
      <c r="F74" s="8" t="s">
        <v>172</v>
      </c>
      <c r="G74" s="32" t="s">
        <v>166</v>
      </c>
      <c r="H74" s="14" t="s">
        <v>167</v>
      </c>
      <c r="I74" s="14" t="s">
        <v>903</v>
      </c>
      <c r="J74" s="9" t="s">
        <v>156</v>
      </c>
      <c r="K74" s="10">
        <v>2025</v>
      </c>
      <c r="L74" s="11" t="s">
        <v>46</v>
      </c>
      <c r="M74" s="11" t="s">
        <v>47</v>
      </c>
      <c r="N74" s="11" t="s">
        <v>47</v>
      </c>
      <c r="O74" s="12">
        <v>2</v>
      </c>
      <c r="P74" s="36" t="s">
        <v>168</v>
      </c>
      <c r="Q74" s="13"/>
      <c r="R74" s="14" t="s">
        <v>48</v>
      </c>
      <c r="S74" s="15" t="s">
        <v>49</v>
      </c>
      <c r="T74" s="15" t="s">
        <v>50</v>
      </c>
      <c r="U74" s="7" t="s">
        <v>160</v>
      </c>
      <c r="V74" s="7" t="s">
        <v>161</v>
      </c>
      <c r="W74" s="7" t="s">
        <v>162</v>
      </c>
      <c r="X74" s="7" t="s">
        <v>163</v>
      </c>
      <c r="Y74" s="16" t="s">
        <v>55</v>
      </c>
      <c r="Z74" s="21">
        <v>4170</v>
      </c>
      <c r="AA74" s="55"/>
      <c r="AB74" s="55"/>
      <c r="AC74" s="55">
        <v>1</v>
      </c>
      <c r="AD74" s="18">
        <f t="shared" si="46"/>
        <v>1</v>
      </c>
      <c r="AE74" s="38"/>
      <c r="AF74" s="38"/>
      <c r="AG74" s="38">
        <v>4170</v>
      </c>
      <c r="AH74" s="38">
        <f t="shared" si="1"/>
        <v>4170</v>
      </c>
      <c r="AI74" s="38"/>
      <c r="AJ74" s="38"/>
      <c r="AK74" s="359"/>
      <c r="AL74" s="359"/>
      <c r="AM74" s="74">
        <f t="shared" si="47"/>
        <v>4170</v>
      </c>
      <c r="AN74" s="38"/>
      <c r="AO74" s="38"/>
      <c r="AP74" s="74">
        <f t="shared" si="48"/>
        <v>4170</v>
      </c>
      <c r="AQ74" s="38"/>
      <c r="AR74" s="38"/>
      <c r="AS74" s="74">
        <f t="shared" si="49"/>
        <v>4170</v>
      </c>
      <c r="AT74" s="38"/>
      <c r="AU74" s="38"/>
      <c r="AV74" s="38">
        <f t="shared" si="50"/>
        <v>4170</v>
      </c>
      <c r="AW74" s="38"/>
      <c r="AX74" s="38"/>
      <c r="AY74" s="38">
        <f t="shared" si="51"/>
        <v>4170</v>
      </c>
      <c r="AZ74" s="38"/>
      <c r="BA74" s="38"/>
      <c r="BB74" s="38">
        <f t="shared" si="52"/>
        <v>4170</v>
      </c>
      <c r="BC74" s="74"/>
      <c r="BD74" s="74"/>
      <c r="BE74" s="38">
        <f t="shared" ref="BE74:BE141" si="54">+BB74+BC74-BD74</f>
        <v>4170</v>
      </c>
      <c r="BF74" s="38"/>
      <c r="BG74" s="38"/>
      <c r="BH74" s="38">
        <f t="shared" ref="BH74:BH138" si="55">+BE74+BF74-BG74</f>
        <v>4170</v>
      </c>
      <c r="BI74" s="38"/>
      <c r="BJ74" s="38"/>
      <c r="BK74" s="38">
        <f t="shared" ref="BK74:BK138" si="56">+BH74+BI74-BJ74</f>
        <v>4170</v>
      </c>
      <c r="BL74" s="337" t="s">
        <v>56</v>
      </c>
      <c r="BM74" s="131"/>
      <c r="BN74" s="131"/>
      <c r="BO74" s="34"/>
      <c r="BP74" s="34"/>
      <c r="BQ74" s="34"/>
      <c r="BR74" s="34"/>
      <c r="BS74" s="34"/>
      <c r="BT74" s="34"/>
      <c r="BU74" s="34"/>
      <c r="BV74" s="34"/>
      <c r="BW74" s="95"/>
      <c r="BX74" s="95"/>
      <c r="BY74" s="95"/>
      <c r="BZ74" s="95"/>
      <c r="CA74" s="95"/>
      <c r="CB74" s="95"/>
      <c r="CC74" s="99"/>
      <c r="CD74" s="96"/>
      <c r="CE74" s="96"/>
      <c r="CF74" s="781">
        <f t="shared" si="53"/>
        <v>0</v>
      </c>
      <c r="CG74" s="134" t="s">
        <v>974</v>
      </c>
      <c r="CH74" s="134"/>
      <c r="CI74" s="412"/>
      <c r="CJ74" s="412"/>
      <c r="CK74" s="62">
        <v>45693</v>
      </c>
      <c r="CL74" s="62">
        <v>45702</v>
      </c>
      <c r="CM74" s="9" t="s">
        <v>351</v>
      </c>
      <c r="CN74" s="9" t="s">
        <v>45</v>
      </c>
      <c r="CO74" s="9" t="s">
        <v>350</v>
      </c>
      <c r="CP74" s="9" t="str">
        <f>+CM74</f>
        <v>PARRA ZAMBONINO SANTOS NAVIGIO</v>
      </c>
      <c r="CQ74" s="9" t="s">
        <v>467</v>
      </c>
      <c r="CR74" s="75" t="s">
        <v>470</v>
      </c>
    </row>
    <row r="75" spans="1:96" s="19" customFormat="1" ht="175.95" customHeight="1" x14ac:dyDescent="0.3">
      <c r="A75" s="4" t="s">
        <v>907</v>
      </c>
      <c r="B75" s="5" t="s">
        <v>90</v>
      </c>
      <c r="C75" s="5" t="s">
        <v>91</v>
      </c>
      <c r="D75" s="5" t="s">
        <v>92</v>
      </c>
      <c r="E75" s="22" t="s">
        <v>173</v>
      </c>
      <c r="F75" s="8" t="s">
        <v>174</v>
      </c>
      <c r="G75" s="15" t="s">
        <v>175</v>
      </c>
      <c r="H75" s="14" t="s">
        <v>167</v>
      </c>
      <c r="I75" s="14" t="s">
        <v>903</v>
      </c>
      <c r="J75" s="9" t="s">
        <v>96</v>
      </c>
      <c r="K75" s="10">
        <v>2025</v>
      </c>
      <c r="L75" s="11" t="s">
        <v>46</v>
      </c>
      <c r="M75" s="11" t="s">
        <v>47</v>
      </c>
      <c r="N75" s="11" t="s">
        <v>47</v>
      </c>
      <c r="O75" s="12">
        <v>12</v>
      </c>
      <c r="P75" s="4" t="s">
        <v>176</v>
      </c>
      <c r="Q75" s="13"/>
      <c r="R75" s="14" t="s">
        <v>48</v>
      </c>
      <c r="S75" s="15" t="s">
        <v>49</v>
      </c>
      <c r="T75" s="15" t="s">
        <v>50</v>
      </c>
      <c r="U75" s="7" t="s">
        <v>160</v>
      </c>
      <c r="V75" s="7" t="s">
        <v>161</v>
      </c>
      <c r="W75" s="7" t="s">
        <v>162</v>
      </c>
      <c r="X75" s="7" t="s">
        <v>163</v>
      </c>
      <c r="Y75" s="16" t="s">
        <v>55</v>
      </c>
      <c r="Z75" s="21">
        <v>5996.92</v>
      </c>
      <c r="AA75" s="18"/>
      <c r="AB75" s="54">
        <v>0.2</v>
      </c>
      <c r="AC75" s="54">
        <v>0.8</v>
      </c>
      <c r="AD75" s="18">
        <f t="shared" si="46"/>
        <v>1</v>
      </c>
      <c r="AE75" s="38"/>
      <c r="AF75" s="38">
        <v>1013.0700000000002</v>
      </c>
      <c r="AG75" s="38">
        <v>4052.2800000000007</v>
      </c>
      <c r="AH75" s="38">
        <f t="shared" si="1"/>
        <v>5065.3500000000004</v>
      </c>
      <c r="AI75" s="38"/>
      <c r="AJ75" s="38"/>
      <c r="AK75" s="359"/>
      <c r="AL75" s="359"/>
      <c r="AM75" s="74">
        <f t="shared" si="47"/>
        <v>5996.92</v>
      </c>
      <c r="AN75" s="38"/>
      <c r="AO75" s="38"/>
      <c r="AP75" s="74">
        <f t="shared" si="48"/>
        <v>5996.92</v>
      </c>
      <c r="AQ75" s="38"/>
      <c r="AR75" s="74">
        <v>931.57</v>
      </c>
      <c r="AS75" s="74">
        <f t="shared" si="49"/>
        <v>5065.3500000000004</v>
      </c>
      <c r="AT75" s="38"/>
      <c r="AU75" s="38"/>
      <c r="AV75" s="38">
        <f t="shared" si="50"/>
        <v>5065.3500000000004</v>
      </c>
      <c r="AW75" s="38"/>
      <c r="AX75" s="38"/>
      <c r="AY75" s="38">
        <f t="shared" si="51"/>
        <v>5065.3500000000004</v>
      </c>
      <c r="AZ75" s="38"/>
      <c r="BA75" s="38"/>
      <c r="BB75" s="38">
        <f t="shared" si="52"/>
        <v>5065.3500000000004</v>
      </c>
      <c r="BC75" s="74"/>
      <c r="BD75" s="74"/>
      <c r="BE75" s="38">
        <f t="shared" si="54"/>
        <v>5065.3500000000004</v>
      </c>
      <c r="BF75" s="38"/>
      <c r="BG75" s="38"/>
      <c r="BH75" s="38">
        <f t="shared" si="55"/>
        <v>5065.3500000000004</v>
      </c>
      <c r="BI75" s="38"/>
      <c r="BJ75" s="38"/>
      <c r="BK75" s="38">
        <f t="shared" si="56"/>
        <v>5065.3500000000004</v>
      </c>
      <c r="BL75" s="337" t="s">
        <v>177</v>
      </c>
      <c r="BM75" s="38">
        <v>11993.86</v>
      </c>
      <c r="BN75" s="337"/>
      <c r="BO75" s="32" t="s">
        <v>449</v>
      </c>
      <c r="BP75" s="67">
        <v>5065.3500000000004</v>
      </c>
      <c r="BQ75" s="67"/>
      <c r="BR75" s="34"/>
      <c r="BS75" s="34"/>
      <c r="BT75" s="34"/>
      <c r="BU75" s="34"/>
      <c r="BV75" s="34"/>
      <c r="BW75" s="34" t="s">
        <v>450</v>
      </c>
      <c r="BX75" s="67">
        <v>5065.3500000000004</v>
      </c>
      <c r="BY75" s="95"/>
      <c r="BZ75" s="95"/>
      <c r="CA75" s="95"/>
      <c r="CB75" s="95"/>
      <c r="CC75" s="9" t="s">
        <v>1084</v>
      </c>
      <c r="CD75" s="67">
        <f>252.11+563.84+302.66+298.83+255.9+217.37+388.02+535.5+395.03+209.3</f>
        <v>3418.5600000000004</v>
      </c>
      <c r="CE75" s="67">
        <f>252.11+563.84+302.66+298.83+255.9+217.37+388.02+535.5+395.03+209.3</f>
        <v>3418.5600000000004</v>
      </c>
      <c r="CF75" s="781">
        <f t="shared" si="53"/>
        <v>0</v>
      </c>
      <c r="CG75" s="133" t="s">
        <v>544</v>
      </c>
      <c r="CH75" s="133" t="s">
        <v>544</v>
      </c>
      <c r="CI75" s="133" t="s">
        <v>544</v>
      </c>
      <c r="CJ75" s="133"/>
      <c r="CK75" s="62">
        <v>45671</v>
      </c>
      <c r="CL75" s="62">
        <v>45674</v>
      </c>
      <c r="CM75" s="9" t="s">
        <v>351</v>
      </c>
      <c r="CN75" s="9" t="s">
        <v>45</v>
      </c>
      <c r="CO75" s="9" t="s">
        <v>339</v>
      </c>
      <c r="CP75" s="9" t="str">
        <f>+CO75</f>
        <v>VELIN VINUEZA OSKAR JESUS</v>
      </c>
      <c r="CQ75" s="9" t="s">
        <v>468</v>
      </c>
      <c r="CR75" s="9" t="s">
        <v>440</v>
      </c>
    </row>
    <row r="76" spans="1:96" s="19" customFormat="1" ht="118.5" customHeight="1" x14ac:dyDescent="0.3">
      <c r="A76" s="4" t="s">
        <v>907</v>
      </c>
      <c r="B76" s="5" t="s">
        <v>90</v>
      </c>
      <c r="C76" s="5" t="s">
        <v>91</v>
      </c>
      <c r="D76" s="5" t="s">
        <v>92</v>
      </c>
      <c r="E76" s="22" t="s">
        <v>171</v>
      </c>
      <c r="F76" s="8" t="s">
        <v>172</v>
      </c>
      <c r="G76" s="32" t="s">
        <v>178</v>
      </c>
      <c r="H76" s="14" t="s">
        <v>167</v>
      </c>
      <c r="I76" s="14" t="s">
        <v>903</v>
      </c>
      <c r="J76" s="9" t="s">
        <v>156</v>
      </c>
      <c r="K76" s="10">
        <v>2025</v>
      </c>
      <c r="L76" s="11" t="s">
        <v>46</v>
      </c>
      <c r="M76" s="11" t="s">
        <v>47</v>
      </c>
      <c r="N76" s="11" t="s">
        <v>47</v>
      </c>
      <c r="O76" s="12">
        <v>1</v>
      </c>
      <c r="P76" s="4" t="s">
        <v>179</v>
      </c>
      <c r="Q76" s="13"/>
      <c r="R76" s="14" t="s">
        <v>48</v>
      </c>
      <c r="S76" s="15" t="s">
        <v>49</v>
      </c>
      <c r="T76" s="15" t="s">
        <v>50</v>
      </c>
      <c r="U76" s="7" t="s">
        <v>160</v>
      </c>
      <c r="V76" s="7" t="s">
        <v>161</v>
      </c>
      <c r="W76" s="7" t="s">
        <v>162</v>
      </c>
      <c r="X76" s="7" t="s">
        <v>163</v>
      </c>
      <c r="Y76" s="16" t="s">
        <v>55</v>
      </c>
      <c r="Z76" s="21">
        <v>28985</v>
      </c>
      <c r="AA76" s="55"/>
      <c r="AB76" s="55">
        <v>1</v>
      </c>
      <c r="AC76" s="55"/>
      <c r="AD76" s="18">
        <f t="shared" si="46"/>
        <v>1</v>
      </c>
      <c r="AE76" s="38"/>
      <c r="AF76" s="38">
        <v>0</v>
      </c>
      <c r="AG76" s="38"/>
      <c r="AH76" s="38">
        <f t="shared" si="1"/>
        <v>0</v>
      </c>
      <c r="AI76" s="38"/>
      <c r="AJ76" s="38"/>
      <c r="AK76" s="359"/>
      <c r="AL76" s="359"/>
      <c r="AM76" s="74">
        <f t="shared" si="47"/>
        <v>28985</v>
      </c>
      <c r="AN76" s="38"/>
      <c r="AO76" s="38"/>
      <c r="AP76" s="74">
        <f t="shared" si="48"/>
        <v>28985</v>
      </c>
      <c r="AQ76" s="38"/>
      <c r="AR76" s="74"/>
      <c r="AS76" s="74">
        <f t="shared" si="49"/>
        <v>28985</v>
      </c>
      <c r="AT76" s="38"/>
      <c r="AU76" s="38"/>
      <c r="AV76" s="38">
        <f t="shared" si="50"/>
        <v>28985</v>
      </c>
      <c r="AW76" s="38"/>
      <c r="AX76" s="38"/>
      <c r="AY76" s="38">
        <f t="shared" si="51"/>
        <v>28985</v>
      </c>
      <c r="AZ76" s="38"/>
      <c r="BA76" s="38"/>
      <c r="BB76" s="38">
        <f t="shared" si="52"/>
        <v>28985</v>
      </c>
      <c r="BC76" s="74"/>
      <c r="BD76" s="74">
        <v>28985</v>
      </c>
      <c r="BE76" s="38">
        <f t="shared" si="54"/>
        <v>0</v>
      </c>
      <c r="BF76" s="38"/>
      <c r="BG76" s="38"/>
      <c r="BH76" s="38">
        <f t="shared" si="55"/>
        <v>0</v>
      </c>
      <c r="BI76" s="38"/>
      <c r="BJ76" s="38"/>
      <c r="BK76" s="38">
        <f t="shared" si="56"/>
        <v>0</v>
      </c>
      <c r="BL76" s="337" t="s">
        <v>56</v>
      </c>
      <c r="BM76" s="131"/>
      <c r="BN76" s="131"/>
      <c r="BO76" s="34"/>
      <c r="BP76" s="34"/>
      <c r="BQ76" s="34"/>
      <c r="BR76" s="34"/>
      <c r="BS76" s="34"/>
      <c r="BT76" s="34"/>
      <c r="BU76" s="34"/>
      <c r="BV76" s="34"/>
      <c r="BW76" s="95"/>
      <c r="BX76" s="95"/>
      <c r="BY76" s="95"/>
      <c r="BZ76" s="95"/>
      <c r="CA76" s="95"/>
      <c r="CB76" s="95"/>
      <c r="CC76" s="99"/>
      <c r="CD76" s="96"/>
      <c r="CE76" s="96"/>
      <c r="CF76" s="781">
        <f t="shared" si="53"/>
        <v>0</v>
      </c>
      <c r="CG76" s="420" t="s">
        <v>971</v>
      </c>
      <c r="CH76" s="134"/>
      <c r="CI76" s="412"/>
      <c r="CJ76" s="412"/>
      <c r="CK76" s="58">
        <v>45853</v>
      </c>
      <c r="CL76" s="58">
        <v>45870</v>
      </c>
      <c r="CM76" s="63" t="s">
        <v>351</v>
      </c>
      <c r="CN76" s="64" t="s">
        <v>354</v>
      </c>
      <c r="CO76" s="8" t="s">
        <v>355</v>
      </c>
      <c r="CP76" s="66" t="str">
        <f>+CM76</f>
        <v>PARRA ZAMBONINO SANTOS NAVIGIO</v>
      </c>
      <c r="CQ76" s="9"/>
      <c r="CR76" s="9"/>
    </row>
    <row r="77" spans="1:96" s="19" customFormat="1" ht="157.19999999999999" customHeight="1" x14ac:dyDescent="0.3">
      <c r="A77" s="4" t="s">
        <v>907</v>
      </c>
      <c r="B77" s="5" t="s">
        <v>90</v>
      </c>
      <c r="C77" s="5" t="s">
        <v>91</v>
      </c>
      <c r="D77" s="5" t="s">
        <v>92</v>
      </c>
      <c r="E77" s="22" t="s">
        <v>164</v>
      </c>
      <c r="F77" s="35" t="s">
        <v>165</v>
      </c>
      <c r="G77" s="32" t="s">
        <v>180</v>
      </c>
      <c r="H77" s="14" t="s">
        <v>167</v>
      </c>
      <c r="I77" s="14" t="s">
        <v>903</v>
      </c>
      <c r="J77" s="9" t="s">
        <v>96</v>
      </c>
      <c r="K77" s="10">
        <v>2025</v>
      </c>
      <c r="L77" s="11" t="s">
        <v>46</v>
      </c>
      <c r="M77" s="11" t="s">
        <v>47</v>
      </c>
      <c r="N77" s="11" t="s">
        <v>47</v>
      </c>
      <c r="O77" s="12">
        <v>2</v>
      </c>
      <c r="P77" s="36" t="s">
        <v>181</v>
      </c>
      <c r="Q77" s="13"/>
      <c r="R77" s="14" t="s">
        <v>48</v>
      </c>
      <c r="S77" s="15" t="s">
        <v>49</v>
      </c>
      <c r="T77" s="15" t="s">
        <v>50</v>
      </c>
      <c r="U77" s="7" t="s">
        <v>160</v>
      </c>
      <c r="V77" s="7" t="s">
        <v>161</v>
      </c>
      <c r="W77" s="7" t="s">
        <v>162</v>
      </c>
      <c r="X77" s="7" t="s">
        <v>163</v>
      </c>
      <c r="Y77" s="16" t="s">
        <v>55</v>
      </c>
      <c r="Z77" s="21">
        <v>3891.38</v>
      </c>
      <c r="AA77" s="55"/>
      <c r="AB77" s="55"/>
      <c r="AC77" s="55">
        <v>1</v>
      </c>
      <c r="AD77" s="18">
        <f t="shared" si="46"/>
        <v>1</v>
      </c>
      <c r="AE77" s="38"/>
      <c r="AF77" s="38"/>
      <c r="AG77" s="38">
        <v>3891.38</v>
      </c>
      <c r="AH77" s="38">
        <f t="shared" si="1"/>
        <v>3891.38</v>
      </c>
      <c r="AI77" s="38"/>
      <c r="AJ77" s="38"/>
      <c r="AK77" s="359"/>
      <c r="AL77" s="359"/>
      <c r="AM77" s="74">
        <f t="shared" si="47"/>
        <v>3891.38</v>
      </c>
      <c r="AN77" s="38"/>
      <c r="AO77" s="38"/>
      <c r="AP77" s="74">
        <f t="shared" si="48"/>
        <v>3891.38</v>
      </c>
      <c r="AQ77" s="38"/>
      <c r="AR77" s="74"/>
      <c r="AS77" s="74">
        <f t="shared" si="49"/>
        <v>3891.38</v>
      </c>
      <c r="AT77" s="38"/>
      <c r="AU77" s="38"/>
      <c r="AV77" s="38">
        <f t="shared" si="50"/>
        <v>3891.38</v>
      </c>
      <c r="AW77" s="38"/>
      <c r="AX77" s="38"/>
      <c r="AY77" s="38">
        <f t="shared" si="51"/>
        <v>3891.38</v>
      </c>
      <c r="AZ77" s="38"/>
      <c r="BA77" s="38"/>
      <c r="BB77" s="38">
        <f t="shared" si="52"/>
        <v>3891.38</v>
      </c>
      <c r="BC77" s="74"/>
      <c r="BD77" s="74"/>
      <c r="BE77" s="38">
        <f t="shared" si="54"/>
        <v>3891.38</v>
      </c>
      <c r="BF77" s="38"/>
      <c r="BG77" s="38"/>
      <c r="BH77" s="38">
        <f t="shared" si="55"/>
        <v>3891.38</v>
      </c>
      <c r="BI77" s="38"/>
      <c r="BJ77" s="38"/>
      <c r="BK77" s="38">
        <f t="shared" si="56"/>
        <v>3891.38</v>
      </c>
      <c r="BL77" s="337" t="s">
        <v>177</v>
      </c>
      <c r="BM77" s="38">
        <v>3891.38</v>
      </c>
      <c r="BN77" s="337"/>
      <c r="BO77" s="72" t="s">
        <v>1060</v>
      </c>
      <c r="BP77" s="67">
        <f>30+208</f>
        <v>238</v>
      </c>
      <c r="BQ77" s="67"/>
      <c r="BR77" s="569">
        <v>3891.38</v>
      </c>
      <c r="BS77" s="569"/>
      <c r="BT77" s="569">
        <v>1966.82</v>
      </c>
      <c r="BU77" s="569">
        <v>1966.82</v>
      </c>
      <c r="BV77" s="569">
        <v>1966.82</v>
      </c>
      <c r="BW77" s="32" t="s">
        <v>1059</v>
      </c>
      <c r="BX77" s="67">
        <f>30+208</f>
        <v>238</v>
      </c>
      <c r="BY77" s="569">
        <v>3891.38</v>
      </c>
      <c r="BZ77" s="569">
        <v>1966.82</v>
      </c>
      <c r="CA77" s="569">
        <v>1966.82</v>
      </c>
      <c r="CB77" s="569">
        <v>1966.82</v>
      </c>
      <c r="CC77" s="9" t="s">
        <v>1108</v>
      </c>
      <c r="CD77" s="72">
        <f>208+30</f>
        <v>238</v>
      </c>
      <c r="CE77" s="72">
        <f>208+30</f>
        <v>238</v>
      </c>
      <c r="CF77" s="781">
        <f t="shared" si="53"/>
        <v>0</v>
      </c>
      <c r="CG77" s="415" t="s">
        <v>467</v>
      </c>
      <c r="CH77" s="527">
        <v>0.3</v>
      </c>
      <c r="CI77" s="59">
        <v>45950</v>
      </c>
      <c r="CJ77" s="528" t="s">
        <v>470</v>
      </c>
      <c r="CK77" s="58">
        <v>45775</v>
      </c>
      <c r="CL77" s="59">
        <v>45792</v>
      </c>
      <c r="CM77" s="63" t="s">
        <v>973</v>
      </c>
      <c r="CN77" s="8" t="s">
        <v>356</v>
      </c>
      <c r="CO77" s="14" t="s">
        <v>357</v>
      </c>
      <c r="CP77" s="66" t="str">
        <f>+CM77</f>
        <v>OJEDA OLGER</v>
      </c>
      <c r="CQ77" s="9"/>
      <c r="CR77" s="9"/>
    </row>
    <row r="78" spans="1:96" s="19" customFormat="1" ht="190.95" customHeight="1" x14ac:dyDescent="0.3">
      <c r="A78" s="4" t="s">
        <v>907</v>
      </c>
      <c r="B78" s="5" t="s">
        <v>90</v>
      </c>
      <c r="C78" s="5" t="s">
        <v>91</v>
      </c>
      <c r="D78" s="5" t="s">
        <v>92</v>
      </c>
      <c r="E78" s="22" t="s">
        <v>173</v>
      </c>
      <c r="F78" s="35" t="s">
        <v>174</v>
      </c>
      <c r="G78" s="32" t="s">
        <v>944</v>
      </c>
      <c r="H78" s="14" t="s">
        <v>167</v>
      </c>
      <c r="I78" s="14" t="s">
        <v>903</v>
      </c>
      <c r="J78" s="9" t="s">
        <v>96</v>
      </c>
      <c r="K78" s="10">
        <v>2025</v>
      </c>
      <c r="L78" s="11" t="s">
        <v>46</v>
      </c>
      <c r="M78" s="11" t="s">
        <v>47</v>
      </c>
      <c r="N78" s="11" t="s">
        <v>47</v>
      </c>
      <c r="O78" s="12" t="s">
        <v>412</v>
      </c>
      <c r="P78" s="36" t="s">
        <v>943</v>
      </c>
      <c r="Q78" s="13"/>
      <c r="R78" s="14" t="s">
        <v>48</v>
      </c>
      <c r="S78" s="15" t="s">
        <v>49</v>
      </c>
      <c r="T78" s="15" t="s">
        <v>50</v>
      </c>
      <c r="U78" s="7" t="s">
        <v>160</v>
      </c>
      <c r="V78" s="7" t="s">
        <v>161</v>
      </c>
      <c r="W78" s="7" t="s">
        <v>162</v>
      </c>
      <c r="X78" s="7" t="s">
        <v>163</v>
      </c>
      <c r="Y78" s="16" t="s">
        <v>55</v>
      </c>
      <c r="Z78" s="21">
        <v>3891.38</v>
      </c>
      <c r="AA78" s="55"/>
      <c r="AB78" s="55"/>
      <c r="AC78" s="55">
        <v>1</v>
      </c>
      <c r="AD78" s="18">
        <f t="shared" ref="AD78:AD79" si="57">+AA78+AB78+AC78</f>
        <v>1</v>
      </c>
      <c r="AE78" s="38"/>
      <c r="AF78" s="38"/>
      <c r="AG78" s="38">
        <v>100</v>
      </c>
      <c r="AH78" s="38">
        <f t="shared" ref="AH78:AH79" si="58">+AE78+AF78+AG78</f>
        <v>100</v>
      </c>
      <c r="AI78" s="38"/>
      <c r="AJ78" s="38"/>
      <c r="AK78" s="359"/>
      <c r="AL78" s="359"/>
      <c r="AM78" s="74">
        <f t="shared" ref="AM78:AM79" si="59">+Z78+AI78-AJ78+AK78-AL78</f>
        <v>3891.38</v>
      </c>
      <c r="AN78" s="38"/>
      <c r="AO78" s="38"/>
      <c r="AP78" s="74">
        <f t="shared" ref="AP78:AP79" si="60">+AM78+AN78-AO78</f>
        <v>3891.38</v>
      </c>
      <c r="AQ78" s="38"/>
      <c r="AR78" s="74"/>
      <c r="AS78" s="74">
        <f t="shared" ref="AS78:AS79" si="61">+AP78+AQ78-AR78</f>
        <v>3891.38</v>
      </c>
      <c r="AT78" s="38"/>
      <c r="AU78" s="38"/>
      <c r="AV78" s="38">
        <f t="shared" ref="AV78:AV79" si="62">+AS78+AT78-AU78</f>
        <v>3891.38</v>
      </c>
      <c r="AW78" s="38"/>
      <c r="AX78" s="38"/>
      <c r="AY78" s="38">
        <f t="shared" ref="AY78:AY79" si="63">+AV78+AW78-AX78</f>
        <v>3891.38</v>
      </c>
      <c r="AZ78" s="38"/>
      <c r="BA78" s="38"/>
      <c r="BB78" s="38">
        <v>100</v>
      </c>
      <c r="BC78" s="74"/>
      <c r="BD78" s="74"/>
      <c r="BE78" s="38">
        <f t="shared" si="54"/>
        <v>100</v>
      </c>
      <c r="BF78" s="38"/>
      <c r="BG78" s="38"/>
      <c r="BH78" s="38">
        <f t="shared" si="55"/>
        <v>100</v>
      </c>
      <c r="BI78" s="38"/>
      <c r="BJ78" s="38"/>
      <c r="BK78" s="38">
        <f t="shared" si="56"/>
        <v>100</v>
      </c>
      <c r="BL78" s="337" t="s">
        <v>177</v>
      </c>
      <c r="BM78" s="38">
        <v>3891.38</v>
      </c>
      <c r="BN78" s="337"/>
      <c r="BO78" s="32" t="s">
        <v>956</v>
      </c>
      <c r="BP78" s="107">
        <v>100</v>
      </c>
      <c r="BQ78" s="107"/>
      <c r="BR78" s="106"/>
      <c r="BS78" s="106"/>
      <c r="BT78" s="106"/>
      <c r="BU78" s="106"/>
      <c r="BV78" s="106"/>
      <c r="BW78" s="34" t="s">
        <v>955</v>
      </c>
      <c r="BX78" s="107">
        <v>100</v>
      </c>
      <c r="BY78" s="106"/>
      <c r="BZ78" s="106"/>
      <c r="CA78" s="106"/>
      <c r="CB78" s="106"/>
      <c r="CC78" s="407" t="s">
        <v>954</v>
      </c>
      <c r="CD78" s="107">
        <v>90</v>
      </c>
      <c r="CE78" s="107">
        <v>90</v>
      </c>
      <c r="CF78" s="781">
        <f t="shared" si="53"/>
        <v>0</v>
      </c>
      <c r="CG78" s="133" t="s">
        <v>45</v>
      </c>
      <c r="CH78" s="133" t="s">
        <v>45</v>
      </c>
      <c r="CI78" s="133" t="s">
        <v>45</v>
      </c>
      <c r="CJ78" s="133"/>
      <c r="CK78" s="58">
        <v>45775</v>
      </c>
      <c r="CL78" s="59">
        <v>45792</v>
      </c>
      <c r="CM78" s="63" t="s">
        <v>351</v>
      </c>
      <c r="CN78" s="8" t="s">
        <v>356</v>
      </c>
      <c r="CO78" s="14" t="s">
        <v>357</v>
      </c>
      <c r="CP78" s="66" t="str">
        <f>+CM78</f>
        <v>PARRA ZAMBONINO SANTOS NAVIGIO</v>
      </c>
      <c r="CQ78" s="9"/>
      <c r="CR78" s="9"/>
    </row>
    <row r="79" spans="1:96" s="19" customFormat="1" ht="142.19999999999999" customHeight="1" x14ac:dyDescent="0.3">
      <c r="A79" s="4" t="s">
        <v>907</v>
      </c>
      <c r="B79" s="5" t="s">
        <v>90</v>
      </c>
      <c r="C79" s="5" t="s">
        <v>91</v>
      </c>
      <c r="D79" s="5" t="s">
        <v>92</v>
      </c>
      <c r="E79" s="22" t="s">
        <v>212</v>
      </c>
      <c r="F79" s="35" t="s">
        <v>409</v>
      </c>
      <c r="G79" s="15" t="s">
        <v>990</v>
      </c>
      <c r="H79" s="14" t="s">
        <v>167</v>
      </c>
      <c r="I79" s="14" t="s">
        <v>903</v>
      </c>
      <c r="J79" s="9" t="s">
        <v>156</v>
      </c>
      <c r="K79" s="10">
        <v>2025</v>
      </c>
      <c r="L79" s="11" t="s">
        <v>46</v>
      </c>
      <c r="M79" s="11" t="s">
        <v>47</v>
      </c>
      <c r="N79" s="11" t="s">
        <v>47</v>
      </c>
      <c r="O79" s="12" t="s">
        <v>283</v>
      </c>
      <c r="P79" s="36" t="s">
        <v>195</v>
      </c>
      <c r="Q79" s="13"/>
      <c r="R79" s="14" t="s">
        <v>48</v>
      </c>
      <c r="S79" s="15" t="s">
        <v>49</v>
      </c>
      <c r="T79" s="15" t="s">
        <v>50</v>
      </c>
      <c r="U79" s="7" t="s">
        <v>160</v>
      </c>
      <c r="V79" s="7" t="s">
        <v>161</v>
      </c>
      <c r="W79" s="7" t="s">
        <v>162</v>
      </c>
      <c r="X79" s="7" t="s">
        <v>163</v>
      </c>
      <c r="Y79" s="16" t="s">
        <v>55</v>
      </c>
      <c r="Z79" s="21"/>
      <c r="AA79" s="55"/>
      <c r="AB79" s="55"/>
      <c r="AC79" s="55">
        <v>1</v>
      </c>
      <c r="AD79" s="18">
        <f t="shared" si="57"/>
        <v>1</v>
      </c>
      <c r="AE79" s="38"/>
      <c r="AF79" s="38"/>
      <c r="AG79" s="38">
        <f>+BK79</f>
        <v>6682</v>
      </c>
      <c r="AH79" s="38">
        <f t="shared" si="58"/>
        <v>6682</v>
      </c>
      <c r="AI79" s="38"/>
      <c r="AJ79" s="38"/>
      <c r="AK79" s="359"/>
      <c r="AL79" s="359"/>
      <c r="AM79" s="74">
        <f t="shared" si="59"/>
        <v>0</v>
      </c>
      <c r="AN79" s="38"/>
      <c r="AO79" s="38">
        <v>1090</v>
      </c>
      <c r="AP79" s="74">
        <f t="shared" si="60"/>
        <v>-1090</v>
      </c>
      <c r="AQ79" s="38"/>
      <c r="AR79" s="74"/>
      <c r="AS79" s="74">
        <f t="shared" si="61"/>
        <v>-1090</v>
      </c>
      <c r="AT79" s="38"/>
      <c r="AU79" s="38">
        <v>510</v>
      </c>
      <c r="AV79" s="38">
        <f t="shared" si="62"/>
        <v>-1600</v>
      </c>
      <c r="AW79" s="38"/>
      <c r="AX79" s="38"/>
      <c r="AY79" s="38">
        <f t="shared" si="63"/>
        <v>-1600</v>
      </c>
      <c r="AZ79" s="38"/>
      <c r="BA79" s="38"/>
      <c r="BB79" s="38">
        <f t="shared" ref="BB79" si="64">+AY79+AZ79-BA79</f>
        <v>-1600</v>
      </c>
      <c r="BC79" s="74"/>
      <c r="BD79" s="74"/>
      <c r="BE79" s="38">
        <v>0</v>
      </c>
      <c r="BF79" s="38"/>
      <c r="BG79" s="38"/>
      <c r="BH79" s="38">
        <f t="shared" si="55"/>
        <v>0</v>
      </c>
      <c r="BI79" s="38">
        <v>6682</v>
      </c>
      <c r="BJ79" s="38"/>
      <c r="BK79" s="38">
        <f t="shared" si="56"/>
        <v>6682</v>
      </c>
      <c r="BL79" s="337" t="s">
        <v>56</v>
      </c>
      <c r="BM79" s="67"/>
      <c r="BN79" s="337"/>
      <c r="BO79" s="32" t="s">
        <v>1064</v>
      </c>
      <c r="BP79" s="67">
        <v>6681.22</v>
      </c>
      <c r="BQ79" s="67"/>
      <c r="BR79" s="67"/>
      <c r="BS79" s="67"/>
      <c r="BT79" s="67"/>
      <c r="BU79" s="67"/>
      <c r="BV79" s="67"/>
      <c r="BW79" s="34" t="s">
        <v>1071</v>
      </c>
      <c r="BX79" s="67">
        <v>6681.22</v>
      </c>
      <c r="BY79" s="67"/>
      <c r="BZ79" s="67"/>
      <c r="CA79" s="67"/>
      <c r="CB79" s="67"/>
      <c r="CC79" s="34" t="s">
        <v>1111</v>
      </c>
      <c r="CD79" s="67">
        <v>6681.22</v>
      </c>
      <c r="CE79" s="67">
        <v>6681.22</v>
      </c>
      <c r="CF79" s="781">
        <f t="shared" si="53"/>
        <v>0</v>
      </c>
      <c r="CG79" s="415"/>
      <c r="CH79" s="527"/>
      <c r="CI79" s="59"/>
      <c r="CJ79" s="528"/>
      <c r="CK79" s="529"/>
      <c r="CL79" s="529"/>
      <c r="CM79" s="63"/>
      <c r="CN79" s="8"/>
      <c r="CO79" s="14"/>
      <c r="CP79" s="530"/>
      <c r="CQ79" s="14"/>
      <c r="CR79" s="14"/>
    </row>
    <row r="80" spans="1:96" s="19" customFormat="1" ht="142.19999999999999" customHeight="1" x14ac:dyDescent="0.3">
      <c r="A80" s="4" t="s">
        <v>907</v>
      </c>
      <c r="B80" s="5" t="s">
        <v>90</v>
      </c>
      <c r="C80" s="5" t="s">
        <v>91</v>
      </c>
      <c r="D80" s="5" t="s">
        <v>92</v>
      </c>
      <c r="E80" s="22" t="s">
        <v>940</v>
      </c>
      <c r="F80" s="35" t="s">
        <v>941</v>
      </c>
      <c r="G80" s="15" t="s">
        <v>990</v>
      </c>
      <c r="H80" s="14" t="s">
        <v>167</v>
      </c>
      <c r="I80" s="14" t="s">
        <v>903</v>
      </c>
      <c r="J80" s="9" t="s">
        <v>156</v>
      </c>
      <c r="K80" s="10">
        <v>2025</v>
      </c>
      <c r="L80" s="11" t="s">
        <v>46</v>
      </c>
      <c r="M80" s="11" t="s">
        <v>47</v>
      </c>
      <c r="N80" s="11" t="s">
        <v>47</v>
      </c>
      <c r="O80" s="12" t="s">
        <v>283</v>
      </c>
      <c r="P80" s="36" t="s">
        <v>195</v>
      </c>
      <c r="Q80" s="13"/>
      <c r="R80" s="14" t="s">
        <v>48</v>
      </c>
      <c r="S80" s="15" t="s">
        <v>49</v>
      </c>
      <c r="T80" s="15" t="s">
        <v>50</v>
      </c>
      <c r="U80" s="7" t="s">
        <v>160</v>
      </c>
      <c r="V80" s="7" t="s">
        <v>161</v>
      </c>
      <c r="W80" s="7" t="s">
        <v>162</v>
      </c>
      <c r="X80" s="7" t="s">
        <v>163</v>
      </c>
      <c r="Y80" s="16" t="s">
        <v>55</v>
      </c>
      <c r="Z80" s="21"/>
      <c r="AA80" s="55"/>
      <c r="AB80" s="55"/>
      <c r="AC80" s="55">
        <v>1</v>
      </c>
      <c r="AD80" s="18">
        <f t="shared" ref="AD80:AD81" si="65">+AA80+AB80+AC80</f>
        <v>1</v>
      </c>
      <c r="AE80" s="38"/>
      <c r="AF80" s="38"/>
      <c r="AG80" s="38">
        <f>+BK80</f>
        <v>3311</v>
      </c>
      <c r="AH80" s="38">
        <f t="shared" ref="AH80:AH81" si="66">+AE80+AF80+AG80</f>
        <v>3311</v>
      </c>
      <c r="AI80" s="38"/>
      <c r="AJ80" s="38"/>
      <c r="AK80" s="359"/>
      <c r="AL80" s="359"/>
      <c r="AM80" s="74">
        <f t="shared" ref="AM80:AM81" si="67">+Z80+AI80-AJ80+AK80-AL80</f>
        <v>0</v>
      </c>
      <c r="AN80" s="38"/>
      <c r="AO80" s="38">
        <v>1090</v>
      </c>
      <c r="AP80" s="74">
        <f t="shared" ref="AP80:AP81" si="68">+AM80+AN80-AO80</f>
        <v>-1090</v>
      </c>
      <c r="AQ80" s="38"/>
      <c r="AR80" s="74"/>
      <c r="AS80" s="74">
        <f t="shared" ref="AS80:AS81" si="69">+AP80+AQ80-AR80</f>
        <v>-1090</v>
      </c>
      <c r="AT80" s="38"/>
      <c r="AU80" s="38">
        <v>510</v>
      </c>
      <c r="AV80" s="38">
        <f t="shared" ref="AV80:AV81" si="70">+AS80+AT80-AU80</f>
        <v>-1600</v>
      </c>
      <c r="AW80" s="38"/>
      <c r="AX80" s="38"/>
      <c r="AY80" s="38">
        <f t="shared" ref="AY80:AY81" si="71">+AV80+AW80-AX80</f>
        <v>-1600</v>
      </c>
      <c r="AZ80" s="38"/>
      <c r="BA80" s="38"/>
      <c r="BB80" s="38">
        <f t="shared" ref="BB80:BB81" si="72">+AY80+AZ80-BA80</f>
        <v>-1600</v>
      </c>
      <c r="BC80" s="74"/>
      <c r="BD80" s="74"/>
      <c r="BE80" s="38">
        <v>0</v>
      </c>
      <c r="BF80" s="38"/>
      <c r="BG80" s="38"/>
      <c r="BH80" s="38">
        <f t="shared" si="55"/>
        <v>0</v>
      </c>
      <c r="BI80" s="38">
        <v>3311</v>
      </c>
      <c r="BJ80" s="38"/>
      <c r="BK80" s="38">
        <f t="shared" si="56"/>
        <v>3311</v>
      </c>
      <c r="BL80" s="337" t="s">
        <v>56</v>
      </c>
      <c r="BM80" s="67"/>
      <c r="BN80" s="337"/>
      <c r="BO80" s="32" t="s">
        <v>1064</v>
      </c>
      <c r="BP80" s="67">
        <v>3310.86</v>
      </c>
      <c r="BQ80" s="67"/>
      <c r="BR80" s="67"/>
      <c r="BS80" s="67"/>
      <c r="BT80" s="67"/>
      <c r="BU80" s="67"/>
      <c r="BV80" s="67"/>
      <c r="BW80" s="34" t="s">
        <v>1071</v>
      </c>
      <c r="BX80" s="67">
        <v>3310.86</v>
      </c>
      <c r="BY80" s="67"/>
      <c r="BZ80" s="67"/>
      <c r="CA80" s="67"/>
      <c r="CB80" s="67"/>
      <c r="CC80" s="34" t="s">
        <v>1111</v>
      </c>
      <c r="CD80" s="67">
        <v>3310.86</v>
      </c>
      <c r="CE80" s="67">
        <v>3310.86</v>
      </c>
      <c r="CF80" s="781">
        <f t="shared" si="53"/>
        <v>0</v>
      </c>
      <c r="CG80" s="415"/>
      <c r="CH80" s="527"/>
      <c r="CI80" s="59"/>
      <c r="CJ80" s="528"/>
      <c r="CK80" s="529"/>
      <c r="CL80" s="529"/>
      <c r="CM80" s="63"/>
      <c r="CN80" s="8"/>
      <c r="CO80" s="14"/>
      <c r="CP80" s="530"/>
      <c r="CQ80" s="14"/>
      <c r="CR80" s="14"/>
    </row>
    <row r="81" spans="1:96" s="19" customFormat="1" ht="180.6" customHeight="1" x14ac:dyDescent="0.3">
      <c r="A81" s="4" t="s">
        <v>907</v>
      </c>
      <c r="B81" s="5" t="s">
        <v>90</v>
      </c>
      <c r="C81" s="5" t="s">
        <v>91</v>
      </c>
      <c r="D81" s="5" t="s">
        <v>92</v>
      </c>
      <c r="E81" s="10" t="s">
        <v>216</v>
      </c>
      <c r="F81" s="570" t="s">
        <v>244</v>
      </c>
      <c r="G81" s="572" t="s">
        <v>245</v>
      </c>
      <c r="H81" s="88" t="s">
        <v>167</v>
      </c>
      <c r="I81" s="14" t="s">
        <v>903</v>
      </c>
      <c r="J81" s="9" t="s">
        <v>96</v>
      </c>
      <c r="K81" s="10">
        <v>2025</v>
      </c>
      <c r="L81" s="11" t="s">
        <v>56</v>
      </c>
      <c r="M81" s="11" t="s">
        <v>47</v>
      </c>
      <c r="N81" s="11" t="s">
        <v>47</v>
      </c>
      <c r="O81" s="12" t="s">
        <v>246</v>
      </c>
      <c r="P81" s="36" t="s">
        <v>247</v>
      </c>
      <c r="Q81" s="13"/>
      <c r="R81" s="14" t="s">
        <v>48</v>
      </c>
      <c r="S81" s="15" t="s">
        <v>49</v>
      </c>
      <c r="T81" s="15" t="s">
        <v>50</v>
      </c>
      <c r="U81" s="7" t="s">
        <v>160</v>
      </c>
      <c r="V81" s="7" t="s">
        <v>161</v>
      </c>
      <c r="W81" s="7" t="s">
        <v>162</v>
      </c>
      <c r="X81" s="7" t="s">
        <v>163</v>
      </c>
      <c r="Y81" s="16" t="s">
        <v>55</v>
      </c>
      <c r="Z81" s="21">
        <v>987.5</v>
      </c>
      <c r="AA81" s="55">
        <v>0</v>
      </c>
      <c r="AB81" s="55">
        <v>0</v>
      </c>
      <c r="AC81" s="55">
        <v>1</v>
      </c>
      <c r="AD81" s="18">
        <f t="shared" si="65"/>
        <v>1</v>
      </c>
      <c r="AE81" s="38"/>
      <c r="AF81" s="38"/>
      <c r="AG81" s="38">
        <v>976.67</v>
      </c>
      <c r="AH81" s="38">
        <f t="shared" si="66"/>
        <v>976.67</v>
      </c>
      <c r="AI81" s="38"/>
      <c r="AJ81" s="38"/>
      <c r="AK81" s="359"/>
      <c r="AL81" s="359"/>
      <c r="AM81" s="74">
        <f t="shared" si="67"/>
        <v>987.5</v>
      </c>
      <c r="AN81" s="38"/>
      <c r="AO81" s="38"/>
      <c r="AP81" s="74">
        <f t="shared" si="68"/>
        <v>987.5</v>
      </c>
      <c r="AQ81" s="38">
        <v>197.5</v>
      </c>
      <c r="AR81" s="38"/>
      <c r="AS81" s="74">
        <f t="shared" si="69"/>
        <v>1185</v>
      </c>
      <c r="AT81" s="38"/>
      <c r="AU81" s="38"/>
      <c r="AV81" s="38">
        <f t="shared" si="70"/>
        <v>1185</v>
      </c>
      <c r="AW81" s="38"/>
      <c r="AX81" s="38"/>
      <c r="AY81" s="38">
        <f t="shared" si="71"/>
        <v>1185</v>
      </c>
      <c r="AZ81" s="38"/>
      <c r="BA81" s="38"/>
      <c r="BB81" s="38">
        <f t="shared" si="72"/>
        <v>1185</v>
      </c>
      <c r="BC81" s="74"/>
      <c r="BD81" s="74"/>
      <c r="BE81" s="38">
        <f t="shared" ref="BE81" si="73">+BB81+BC81-BD81</f>
        <v>1185</v>
      </c>
      <c r="BF81" s="38"/>
      <c r="BG81" s="38"/>
      <c r="BH81" s="38">
        <v>0</v>
      </c>
      <c r="BI81" s="38">
        <v>976.67</v>
      </c>
      <c r="BJ81" s="38"/>
      <c r="BK81" s="38">
        <f t="shared" ref="BK81" si="74">+BH81+BI81-BJ81</f>
        <v>976.67</v>
      </c>
      <c r="BL81" s="337" t="s">
        <v>177</v>
      </c>
      <c r="BM81" s="37">
        <v>647</v>
      </c>
      <c r="BN81" s="131"/>
      <c r="BO81" s="32"/>
      <c r="BP81" s="80"/>
      <c r="BQ81" s="80"/>
      <c r="BR81" s="34"/>
      <c r="BS81" s="34"/>
      <c r="BT81" s="34"/>
      <c r="BU81" s="34"/>
      <c r="BV81" s="34"/>
      <c r="BW81" s="32"/>
      <c r="BX81" s="80"/>
      <c r="BY81" s="95"/>
      <c r="BZ81" s="95"/>
      <c r="CA81" s="95"/>
      <c r="CB81" s="95"/>
      <c r="CC81" s="9"/>
      <c r="CD81" s="67"/>
      <c r="CE81" s="67"/>
      <c r="CF81" s="781">
        <f t="shared" si="53"/>
        <v>0</v>
      </c>
      <c r="CG81" s="133"/>
      <c r="CH81" s="133"/>
      <c r="CI81" s="133"/>
      <c r="CJ81" s="133"/>
      <c r="CK81" s="8"/>
      <c r="CL81" s="8"/>
      <c r="CM81" s="8"/>
      <c r="CN81" s="8"/>
      <c r="CO81" s="8"/>
      <c r="CP81" s="9"/>
      <c r="CQ81" s="9"/>
      <c r="CR81" s="9"/>
    </row>
    <row r="82" spans="1:96" s="19" customFormat="1" ht="189.6" customHeight="1" x14ac:dyDescent="0.3">
      <c r="A82" s="4" t="s">
        <v>907</v>
      </c>
      <c r="B82" s="47" t="s">
        <v>90</v>
      </c>
      <c r="C82" s="48" t="s">
        <v>232</v>
      </c>
      <c r="D82" s="48" t="s">
        <v>233</v>
      </c>
      <c r="E82" s="49" t="s">
        <v>164</v>
      </c>
      <c r="F82" s="51" t="s">
        <v>165</v>
      </c>
      <c r="G82" s="325" t="s">
        <v>236</v>
      </c>
      <c r="H82" s="88" t="s">
        <v>167</v>
      </c>
      <c r="I82" s="14" t="s">
        <v>903</v>
      </c>
      <c r="J82" s="9" t="s">
        <v>96</v>
      </c>
      <c r="K82" s="10">
        <v>2025</v>
      </c>
      <c r="L82" s="11" t="s">
        <v>56</v>
      </c>
      <c r="M82" s="11" t="s">
        <v>47</v>
      </c>
      <c r="N82" s="11" t="s">
        <v>47</v>
      </c>
      <c r="O82" s="12">
        <v>1</v>
      </c>
      <c r="P82" s="36" t="s">
        <v>237</v>
      </c>
      <c r="Q82" s="13"/>
      <c r="R82" s="14" t="s">
        <v>48</v>
      </c>
      <c r="S82" s="15" t="s">
        <v>49</v>
      </c>
      <c r="T82" s="15" t="s">
        <v>50</v>
      </c>
      <c r="U82" s="7" t="s">
        <v>160</v>
      </c>
      <c r="V82" s="7" t="s">
        <v>161</v>
      </c>
      <c r="W82" s="7" t="s">
        <v>162</v>
      </c>
      <c r="X82" s="7" t="s">
        <v>163</v>
      </c>
      <c r="Y82" s="16" t="s">
        <v>55</v>
      </c>
      <c r="Z82" s="21">
        <v>1883.85</v>
      </c>
      <c r="AA82" s="55">
        <v>0.33329999999999999</v>
      </c>
      <c r="AB82" s="55">
        <v>0.33329999999999999</v>
      </c>
      <c r="AC82" s="55">
        <v>0.33329999999999999</v>
      </c>
      <c r="AD82" s="18">
        <f t="shared" si="46"/>
        <v>0.99990000000000001</v>
      </c>
      <c r="AE82" s="38">
        <v>627.94999999999993</v>
      </c>
      <c r="AF82" s="38">
        <v>627.94999999999993</v>
      </c>
      <c r="AG82" s="38">
        <v>627.94999999999993</v>
      </c>
      <c r="AH82" s="38">
        <f t="shared" si="1"/>
        <v>1883.85</v>
      </c>
      <c r="AI82" s="38"/>
      <c r="AJ82" s="38"/>
      <c r="AK82" s="359"/>
      <c r="AL82" s="359"/>
      <c r="AM82" s="74">
        <f t="shared" si="47"/>
        <v>1883.85</v>
      </c>
      <c r="AN82" s="38"/>
      <c r="AO82" s="38"/>
      <c r="AP82" s="74">
        <f t="shared" si="48"/>
        <v>1883.85</v>
      </c>
      <c r="AQ82" s="38"/>
      <c r="AR82" s="38"/>
      <c r="AS82" s="74">
        <f t="shared" si="49"/>
        <v>1883.85</v>
      </c>
      <c r="AT82" s="38"/>
      <c r="AU82" s="38"/>
      <c r="AV82" s="38">
        <f t="shared" si="50"/>
        <v>1883.85</v>
      </c>
      <c r="AW82" s="38"/>
      <c r="AX82" s="38"/>
      <c r="AY82" s="38">
        <f t="shared" si="51"/>
        <v>1883.85</v>
      </c>
      <c r="AZ82" s="38"/>
      <c r="BA82" s="38"/>
      <c r="BB82" s="38">
        <f t="shared" si="52"/>
        <v>1883.85</v>
      </c>
      <c r="BC82" s="74"/>
      <c r="BD82" s="74"/>
      <c r="BE82" s="38">
        <f t="shared" si="54"/>
        <v>1883.85</v>
      </c>
      <c r="BF82" s="38"/>
      <c r="BG82" s="38"/>
      <c r="BH82" s="38">
        <f t="shared" si="55"/>
        <v>1883.85</v>
      </c>
      <c r="BI82" s="38"/>
      <c r="BJ82" s="38"/>
      <c r="BK82" s="38">
        <f t="shared" si="56"/>
        <v>1883.85</v>
      </c>
      <c r="BL82" s="337" t="s">
        <v>177</v>
      </c>
      <c r="BM82" s="37"/>
      <c r="BN82" s="131"/>
      <c r="BO82" s="32" t="s">
        <v>423</v>
      </c>
      <c r="BP82" s="34">
        <v>475.91</v>
      </c>
      <c r="BQ82" s="34"/>
      <c r="BR82" s="34"/>
      <c r="BS82" s="34"/>
      <c r="BT82" s="34"/>
      <c r="BU82" s="34"/>
      <c r="BV82" s="34"/>
      <c r="BW82" s="34" t="s">
        <v>424</v>
      </c>
      <c r="BX82" s="34">
        <v>475.91</v>
      </c>
      <c r="BY82" s="107">
        <v>1920</v>
      </c>
      <c r="BZ82" s="107"/>
      <c r="CA82" s="107"/>
      <c r="CB82" s="107"/>
      <c r="CC82" s="9" t="s">
        <v>513</v>
      </c>
      <c r="CD82" s="67">
        <f>49.74+194.52</f>
        <v>244.26000000000002</v>
      </c>
      <c r="CE82" s="67">
        <f>49.74+194.52</f>
        <v>244.26000000000002</v>
      </c>
      <c r="CF82" s="781">
        <f t="shared" si="53"/>
        <v>0</v>
      </c>
      <c r="CG82" s="133" t="s">
        <v>544</v>
      </c>
      <c r="CH82" s="133" t="s">
        <v>544</v>
      </c>
      <c r="CI82" s="133" t="s">
        <v>544</v>
      </c>
      <c r="CJ82" s="133"/>
      <c r="CK82" s="8" t="s">
        <v>45</v>
      </c>
      <c r="CL82" s="8" t="s">
        <v>45</v>
      </c>
      <c r="CM82" s="8" t="s">
        <v>45</v>
      </c>
      <c r="CN82" s="8" t="s">
        <v>45</v>
      </c>
      <c r="CO82" s="8" t="s">
        <v>45</v>
      </c>
      <c r="CP82" s="9" t="s">
        <v>382</v>
      </c>
      <c r="CQ82" s="9" t="s">
        <v>468</v>
      </c>
      <c r="CR82" s="9" t="s">
        <v>440</v>
      </c>
    </row>
    <row r="83" spans="1:96" s="19" customFormat="1" ht="246" customHeight="1" x14ac:dyDescent="0.3">
      <c r="A83" s="4" t="s">
        <v>907</v>
      </c>
      <c r="B83" s="47" t="s">
        <v>90</v>
      </c>
      <c r="C83" s="48" t="s">
        <v>232</v>
      </c>
      <c r="D83" s="48" t="s">
        <v>233</v>
      </c>
      <c r="E83" s="49" t="s">
        <v>164</v>
      </c>
      <c r="F83" s="51" t="s">
        <v>165</v>
      </c>
      <c r="G83" s="325" t="s">
        <v>194</v>
      </c>
      <c r="H83" s="88" t="s">
        <v>167</v>
      </c>
      <c r="I83" s="14" t="s">
        <v>903</v>
      </c>
      <c r="J83" s="9" t="s">
        <v>96</v>
      </c>
      <c r="K83" s="10">
        <v>2025</v>
      </c>
      <c r="L83" s="11" t="s">
        <v>56</v>
      </c>
      <c r="M83" s="11" t="s">
        <v>47</v>
      </c>
      <c r="N83" s="11" t="s">
        <v>47</v>
      </c>
      <c r="O83" s="12">
        <v>8</v>
      </c>
      <c r="P83" s="36" t="s">
        <v>195</v>
      </c>
      <c r="Q83" s="13"/>
      <c r="R83" s="14" t="s">
        <v>48</v>
      </c>
      <c r="S83" s="15" t="s">
        <v>49</v>
      </c>
      <c r="T83" s="15" t="s">
        <v>50</v>
      </c>
      <c r="U83" s="7" t="s">
        <v>160</v>
      </c>
      <c r="V83" s="7" t="s">
        <v>161</v>
      </c>
      <c r="W83" s="7" t="s">
        <v>162</v>
      </c>
      <c r="X83" s="7" t="s">
        <v>163</v>
      </c>
      <c r="Y83" s="16" t="s">
        <v>55</v>
      </c>
      <c r="Z83" s="21">
        <v>8680.01</v>
      </c>
      <c r="AA83" s="55">
        <v>1</v>
      </c>
      <c r="AB83" s="55"/>
      <c r="AC83" s="55"/>
      <c r="AD83" s="18">
        <f t="shared" si="46"/>
        <v>1</v>
      </c>
      <c r="AE83" s="38">
        <v>5254.35</v>
      </c>
      <c r="AF83" s="38"/>
      <c r="AG83" s="38"/>
      <c r="AH83" s="38">
        <f t="shared" ref="AH83:AH146" si="75">+AE83+AF83+AG83</f>
        <v>5254.35</v>
      </c>
      <c r="AI83" s="38"/>
      <c r="AJ83" s="38"/>
      <c r="AK83" s="359"/>
      <c r="AL83" s="359"/>
      <c r="AM83" s="74">
        <f t="shared" si="47"/>
        <v>8680.01</v>
      </c>
      <c r="AN83" s="38">
        <v>1090</v>
      </c>
      <c r="AO83" s="38"/>
      <c r="AP83" s="74">
        <f t="shared" si="48"/>
        <v>9770.01</v>
      </c>
      <c r="AQ83" s="38"/>
      <c r="AR83" s="38"/>
      <c r="AS83" s="74">
        <f t="shared" si="49"/>
        <v>9770.01</v>
      </c>
      <c r="AT83" s="38"/>
      <c r="AU83" s="38"/>
      <c r="AV83" s="38">
        <f t="shared" si="50"/>
        <v>9770.01</v>
      </c>
      <c r="AW83" s="38"/>
      <c r="AX83" s="38"/>
      <c r="AY83" s="38">
        <f t="shared" si="51"/>
        <v>9770.01</v>
      </c>
      <c r="AZ83" s="38"/>
      <c r="BA83" s="38"/>
      <c r="BB83" s="38">
        <f t="shared" si="52"/>
        <v>9770.01</v>
      </c>
      <c r="BC83" s="74"/>
      <c r="BD83" s="74">
        <v>4515.66</v>
      </c>
      <c r="BE83" s="38">
        <f t="shared" si="54"/>
        <v>5254.35</v>
      </c>
      <c r="BF83" s="38"/>
      <c r="BG83" s="38"/>
      <c r="BH83" s="38">
        <f t="shared" si="55"/>
        <v>5254.35</v>
      </c>
      <c r="BI83" s="38"/>
      <c r="BJ83" s="38"/>
      <c r="BK83" s="38">
        <f t="shared" si="56"/>
        <v>5254.35</v>
      </c>
      <c r="BL83" s="337" t="s">
        <v>177</v>
      </c>
      <c r="BM83" s="37"/>
      <c r="BN83" s="131"/>
      <c r="BO83" s="32"/>
      <c r="BP83" s="34"/>
      <c r="BQ83" s="34"/>
      <c r="BR83" s="34"/>
      <c r="BS83" s="34"/>
      <c r="BT83" s="34"/>
      <c r="BU83" s="34"/>
      <c r="BV83" s="34"/>
      <c r="BW83" s="34" t="s">
        <v>439</v>
      </c>
      <c r="BX83" s="38">
        <v>9770.01</v>
      </c>
      <c r="BY83" s="106">
        <v>194.52</v>
      </c>
      <c r="BZ83" s="106"/>
      <c r="CA83" s="106"/>
      <c r="CB83" s="106"/>
      <c r="CC83" s="9" t="s">
        <v>512</v>
      </c>
      <c r="CD83" s="67">
        <f>1429.15-1414.15-15+1414.15+15+1017.5+401.7+1883.5+522.5</f>
        <v>5254.35</v>
      </c>
      <c r="CE83" s="67">
        <f>1429.15-1414.15-15+1414.15+15+1017.5+401.7+1883.5+522.5</f>
        <v>5254.35</v>
      </c>
      <c r="CF83" s="781">
        <f t="shared" si="53"/>
        <v>0</v>
      </c>
      <c r="CG83" s="133" t="s">
        <v>544</v>
      </c>
      <c r="CH83" s="133" t="s">
        <v>544</v>
      </c>
      <c r="CI83" s="133" t="s">
        <v>544</v>
      </c>
      <c r="CJ83" s="133"/>
      <c r="CK83" s="8" t="s">
        <v>45</v>
      </c>
      <c r="CL83" s="8" t="s">
        <v>45</v>
      </c>
      <c r="CM83" s="8" t="s">
        <v>45</v>
      </c>
      <c r="CN83" s="8" t="s">
        <v>45</v>
      </c>
      <c r="CO83" s="8" t="s">
        <v>45</v>
      </c>
      <c r="CP83" s="9" t="s">
        <v>382</v>
      </c>
      <c r="CQ83" s="9" t="s">
        <v>468</v>
      </c>
      <c r="CR83" s="9" t="s">
        <v>440</v>
      </c>
    </row>
    <row r="84" spans="1:96" s="19" customFormat="1" ht="171.75" customHeight="1" x14ac:dyDescent="0.3">
      <c r="A84" s="4" t="s">
        <v>907</v>
      </c>
      <c r="B84" s="47" t="s">
        <v>90</v>
      </c>
      <c r="C84" s="48" t="s">
        <v>232</v>
      </c>
      <c r="D84" s="48" t="s">
        <v>233</v>
      </c>
      <c r="E84" s="49" t="s">
        <v>164</v>
      </c>
      <c r="F84" s="51" t="s">
        <v>165</v>
      </c>
      <c r="G84" s="325" t="s">
        <v>242</v>
      </c>
      <c r="H84" s="88" t="s">
        <v>167</v>
      </c>
      <c r="I84" s="14" t="s">
        <v>903</v>
      </c>
      <c r="J84" s="9" t="s">
        <v>96</v>
      </c>
      <c r="K84" s="10">
        <v>2025</v>
      </c>
      <c r="L84" s="11" t="s">
        <v>56</v>
      </c>
      <c r="M84" s="11" t="s">
        <v>47</v>
      </c>
      <c r="N84" s="11" t="s">
        <v>47</v>
      </c>
      <c r="O84" s="12">
        <v>1</v>
      </c>
      <c r="P84" s="36" t="s">
        <v>243</v>
      </c>
      <c r="Q84" s="13"/>
      <c r="R84" s="14" t="s">
        <v>48</v>
      </c>
      <c r="S84" s="15" t="s">
        <v>49</v>
      </c>
      <c r="T84" s="15" t="s">
        <v>50</v>
      </c>
      <c r="U84" s="7" t="s">
        <v>160</v>
      </c>
      <c r="V84" s="7" t="s">
        <v>161</v>
      </c>
      <c r="W84" s="7" t="s">
        <v>162</v>
      </c>
      <c r="X84" s="7" t="s">
        <v>163</v>
      </c>
      <c r="Y84" s="16" t="s">
        <v>55</v>
      </c>
      <c r="Z84" s="21">
        <v>4886.18</v>
      </c>
      <c r="AA84" s="55">
        <v>0.33329999999999999</v>
      </c>
      <c r="AB84" s="55">
        <v>0.33329999999999999</v>
      </c>
      <c r="AC84" s="55">
        <v>0.33329999999999999</v>
      </c>
      <c r="AD84" s="18">
        <f t="shared" si="46"/>
        <v>0.99990000000000001</v>
      </c>
      <c r="AE84" s="38">
        <v>1628.7266666666667</v>
      </c>
      <c r="AF84" s="38">
        <v>1628.7266666666667</v>
      </c>
      <c r="AG84" s="38">
        <v>1628.7266666666667</v>
      </c>
      <c r="AH84" s="38">
        <f t="shared" si="75"/>
        <v>4886.18</v>
      </c>
      <c r="AI84" s="38"/>
      <c r="AJ84" s="38"/>
      <c r="AK84" s="359"/>
      <c r="AL84" s="359"/>
      <c r="AM84" s="74">
        <f t="shared" si="47"/>
        <v>4886.18</v>
      </c>
      <c r="AN84" s="38"/>
      <c r="AO84" s="38"/>
      <c r="AP84" s="74">
        <f t="shared" si="48"/>
        <v>4886.18</v>
      </c>
      <c r="AQ84" s="38"/>
      <c r="AR84" s="38"/>
      <c r="AS84" s="74">
        <f t="shared" si="49"/>
        <v>4886.18</v>
      </c>
      <c r="AT84" s="38"/>
      <c r="AU84" s="38"/>
      <c r="AV84" s="38">
        <f t="shared" si="50"/>
        <v>4886.18</v>
      </c>
      <c r="AW84" s="38"/>
      <c r="AX84" s="38"/>
      <c r="AY84" s="38">
        <f t="shared" si="51"/>
        <v>4886.18</v>
      </c>
      <c r="AZ84" s="38"/>
      <c r="BA84" s="38"/>
      <c r="BB84" s="38">
        <f t="shared" si="52"/>
        <v>4886.18</v>
      </c>
      <c r="BC84" s="74"/>
      <c r="BD84" s="74"/>
      <c r="BE84" s="38">
        <f t="shared" si="54"/>
        <v>4886.18</v>
      </c>
      <c r="BF84" s="38"/>
      <c r="BG84" s="38"/>
      <c r="BH84" s="38">
        <f t="shared" si="55"/>
        <v>4886.18</v>
      </c>
      <c r="BI84" s="38"/>
      <c r="BJ84" s="38"/>
      <c r="BK84" s="38">
        <f t="shared" si="56"/>
        <v>4886.18</v>
      </c>
      <c r="BL84" s="337" t="s">
        <v>177</v>
      </c>
      <c r="BM84" s="37"/>
      <c r="BN84" s="131"/>
      <c r="BO84" s="32" t="s">
        <v>961</v>
      </c>
      <c r="BP84" s="106">
        <v>580.76</v>
      </c>
      <c r="BQ84" s="106"/>
      <c r="BR84" s="34"/>
      <c r="BS84" s="34"/>
      <c r="BT84" s="34"/>
      <c r="BU84" s="34"/>
      <c r="BV84" s="34"/>
      <c r="BW84" s="34" t="s">
        <v>960</v>
      </c>
      <c r="BX84" s="106">
        <v>580.76</v>
      </c>
      <c r="BY84" s="95"/>
      <c r="BZ84" s="95"/>
      <c r="CA84" s="95"/>
      <c r="CB84" s="95"/>
      <c r="CC84" s="34" t="s">
        <v>962</v>
      </c>
      <c r="CD84" s="107">
        <v>580.76</v>
      </c>
      <c r="CE84" s="107">
        <v>580.76</v>
      </c>
      <c r="CF84" s="781">
        <f t="shared" si="53"/>
        <v>0</v>
      </c>
      <c r="CG84" s="133" t="s">
        <v>544</v>
      </c>
      <c r="CH84" s="133" t="s">
        <v>544</v>
      </c>
      <c r="CI84" s="133" t="s">
        <v>544</v>
      </c>
      <c r="CJ84" s="133"/>
      <c r="CK84" s="8" t="s">
        <v>45</v>
      </c>
      <c r="CL84" s="8" t="s">
        <v>45</v>
      </c>
      <c r="CM84" s="8" t="s">
        <v>45</v>
      </c>
      <c r="CN84" s="8" t="s">
        <v>45</v>
      </c>
      <c r="CO84" s="8" t="s">
        <v>45</v>
      </c>
      <c r="CP84" s="9" t="s">
        <v>382</v>
      </c>
      <c r="CQ84" s="9" t="s">
        <v>468</v>
      </c>
      <c r="CR84" s="9" t="s">
        <v>440</v>
      </c>
    </row>
    <row r="85" spans="1:96" s="19" customFormat="1" ht="180.6" customHeight="1" x14ac:dyDescent="0.3">
      <c r="A85" s="4" t="s">
        <v>907</v>
      </c>
      <c r="B85" s="47" t="s">
        <v>90</v>
      </c>
      <c r="C85" s="48" t="s">
        <v>232</v>
      </c>
      <c r="D85" s="48" t="s">
        <v>233</v>
      </c>
      <c r="E85" s="49" t="s">
        <v>216</v>
      </c>
      <c r="F85" s="51" t="s">
        <v>244</v>
      </c>
      <c r="G85" s="329" t="s">
        <v>245</v>
      </c>
      <c r="H85" s="88" t="s">
        <v>167</v>
      </c>
      <c r="I85" s="14" t="s">
        <v>903</v>
      </c>
      <c r="J85" s="9" t="s">
        <v>96</v>
      </c>
      <c r="K85" s="10">
        <v>2025</v>
      </c>
      <c r="L85" s="11" t="s">
        <v>56</v>
      </c>
      <c r="M85" s="11" t="s">
        <v>47</v>
      </c>
      <c r="N85" s="11" t="s">
        <v>47</v>
      </c>
      <c r="O85" s="12" t="s">
        <v>246</v>
      </c>
      <c r="P85" s="36" t="s">
        <v>247</v>
      </c>
      <c r="Q85" s="13"/>
      <c r="R85" s="14" t="s">
        <v>48</v>
      </c>
      <c r="S85" s="15" t="s">
        <v>49</v>
      </c>
      <c r="T85" s="15" t="s">
        <v>50</v>
      </c>
      <c r="U85" s="7" t="s">
        <v>160</v>
      </c>
      <c r="V85" s="7" t="s">
        <v>161</v>
      </c>
      <c r="W85" s="7" t="s">
        <v>162</v>
      </c>
      <c r="X85" s="7" t="s">
        <v>163</v>
      </c>
      <c r="Y85" s="16" t="s">
        <v>55</v>
      </c>
      <c r="Z85" s="21">
        <v>987.5</v>
      </c>
      <c r="AA85" s="55">
        <v>0.33329999999999999</v>
      </c>
      <c r="AB85" s="55">
        <v>0.33329999999999999</v>
      </c>
      <c r="AC85" s="55">
        <v>0.33329999999999999</v>
      </c>
      <c r="AD85" s="18">
        <f t="shared" si="46"/>
        <v>0.99990000000000001</v>
      </c>
      <c r="AE85" s="38">
        <v>395</v>
      </c>
      <c r="AF85" s="38">
        <v>395</v>
      </c>
      <c r="AG85" s="38">
        <v>395</v>
      </c>
      <c r="AH85" s="38">
        <f t="shared" si="75"/>
        <v>1185</v>
      </c>
      <c r="AI85" s="38"/>
      <c r="AJ85" s="38"/>
      <c r="AK85" s="359"/>
      <c r="AL85" s="359"/>
      <c r="AM85" s="74">
        <f t="shared" si="47"/>
        <v>987.5</v>
      </c>
      <c r="AN85" s="38"/>
      <c r="AO85" s="38"/>
      <c r="AP85" s="74">
        <f t="shared" si="48"/>
        <v>987.5</v>
      </c>
      <c r="AQ85" s="38">
        <v>197.5</v>
      </c>
      <c r="AR85" s="38"/>
      <c r="AS85" s="74">
        <f t="shared" si="49"/>
        <v>1185</v>
      </c>
      <c r="AT85" s="38"/>
      <c r="AU85" s="38"/>
      <c r="AV85" s="38">
        <f t="shared" si="50"/>
        <v>1185</v>
      </c>
      <c r="AW85" s="38"/>
      <c r="AX85" s="38"/>
      <c r="AY85" s="38">
        <f t="shared" si="51"/>
        <v>1185</v>
      </c>
      <c r="AZ85" s="38"/>
      <c r="BA85" s="38"/>
      <c r="BB85" s="38">
        <f t="shared" si="52"/>
        <v>1185</v>
      </c>
      <c r="BC85" s="74"/>
      <c r="BD85" s="74"/>
      <c r="BE85" s="38">
        <f t="shared" si="54"/>
        <v>1185</v>
      </c>
      <c r="BF85" s="38"/>
      <c r="BG85" s="38"/>
      <c r="BH85" s="38">
        <f t="shared" si="55"/>
        <v>1185</v>
      </c>
      <c r="BI85" s="38"/>
      <c r="BJ85" s="38"/>
      <c r="BK85" s="38">
        <f t="shared" si="56"/>
        <v>1185</v>
      </c>
      <c r="BL85" s="337" t="s">
        <v>56</v>
      </c>
      <c r="BM85" s="37"/>
      <c r="BN85" s="131"/>
      <c r="BO85" s="32" t="s">
        <v>466</v>
      </c>
      <c r="BP85" s="80">
        <f>+BK85</f>
        <v>1185</v>
      </c>
      <c r="BQ85" s="80"/>
      <c r="BR85" s="34"/>
      <c r="BS85" s="34"/>
      <c r="BT85" s="34"/>
      <c r="BU85" s="34"/>
      <c r="BV85" s="34"/>
      <c r="BW85" s="32" t="s">
        <v>459</v>
      </c>
      <c r="BX85" s="80">
        <v>1185</v>
      </c>
      <c r="BY85" s="95"/>
      <c r="BZ85" s="95"/>
      <c r="CA85" s="95"/>
      <c r="CB85" s="95"/>
      <c r="CC85" s="9" t="s">
        <v>1089</v>
      </c>
      <c r="CD85" s="67">
        <f>71.42+71.42+71.42+68.61+69.69+71.42+64.93+0.43+71.42+73.81+66.66+111.04</f>
        <v>812.26999999999987</v>
      </c>
      <c r="CE85" s="67">
        <f>71.42+71.42+71.42+68.61+69.69+71.42+64.93+0.43+71.42+73.81+66.66+111.04</f>
        <v>812.26999999999987</v>
      </c>
      <c r="CF85" s="781">
        <f t="shared" si="53"/>
        <v>0</v>
      </c>
      <c r="CG85" s="133" t="s">
        <v>544</v>
      </c>
      <c r="CH85" s="133" t="s">
        <v>544</v>
      </c>
      <c r="CI85" s="133" t="s">
        <v>544</v>
      </c>
      <c r="CJ85" s="133"/>
      <c r="CK85" s="8" t="s">
        <v>45</v>
      </c>
      <c r="CL85" s="8" t="s">
        <v>45</v>
      </c>
      <c r="CM85" s="8" t="s">
        <v>45</v>
      </c>
      <c r="CN85" s="8" t="s">
        <v>45</v>
      </c>
      <c r="CO85" s="8" t="s">
        <v>45</v>
      </c>
      <c r="CP85" s="9" t="s">
        <v>382</v>
      </c>
      <c r="CQ85" s="9" t="s">
        <v>468</v>
      </c>
      <c r="CR85" s="9" t="s">
        <v>440</v>
      </c>
    </row>
    <row r="86" spans="1:96" s="19" customFormat="1" ht="115.5" customHeight="1" x14ac:dyDescent="0.3">
      <c r="A86" s="4" t="s">
        <v>907</v>
      </c>
      <c r="B86" s="5" t="s">
        <v>90</v>
      </c>
      <c r="C86" s="5" t="s">
        <v>91</v>
      </c>
      <c r="D86" s="5" t="s">
        <v>92</v>
      </c>
      <c r="E86" s="22" t="s">
        <v>171</v>
      </c>
      <c r="F86" s="8" t="s">
        <v>172</v>
      </c>
      <c r="G86" s="32" t="s">
        <v>203</v>
      </c>
      <c r="H86" s="8" t="s">
        <v>204</v>
      </c>
      <c r="I86" s="60" t="s">
        <v>901</v>
      </c>
      <c r="J86" s="9" t="s">
        <v>156</v>
      </c>
      <c r="K86" s="10">
        <v>2025</v>
      </c>
      <c r="L86" s="11" t="s">
        <v>46</v>
      </c>
      <c r="M86" s="11" t="s">
        <v>47</v>
      </c>
      <c r="N86" s="11" t="s">
        <v>47</v>
      </c>
      <c r="O86" s="12">
        <v>10</v>
      </c>
      <c r="P86" s="4" t="s">
        <v>205</v>
      </c>
      <c r="Q86" s="13"/>
      <c r="R86" s="14" t="s">
        <v>48</v>
      </c>
      <c r="S86" s="15" t="s">
        <v>49</v>
      </c>
      <c r="T86" s="15" t="s">
        <v>50</v>
      </c>
      <c r="U86" s="7" t="s">
        <v>160</v>
      </c>
      <c r="V86" s="7" t="s">
        <v>161</v>
      </c>
      <c r="W86" s="7" t="s">
        <v>162</v>
      </c>
      <c r="X86" s="7" t="s">
        <v>163</v>
      </c>
      <c r="Y86" s="16" t="s">
        <v>55</v>
      </c>
      <c r="Z86" s="21">
        <v>4130</v>
      </c>
      <c r="AA86" s="55">
        <v>1</v>
      </c>
      <c r="AB86" s="55"/>
      <c r="AC86" s="55"/>
      <c r="AD86" s="18">
        <f t="shared" si="46"/>
        <v>1</v>
      </c>
      <c r="AE86" s="38"/>
      <c r="AF86" s="38"/>
      <c r="AG86" s="38"/>
      <c r="AH86" s="38">
        <f t="shared" si="75"/>
        <v>0</v>
      </c>
      <c r="AI86" s="38"/>
      <c r="AJ86" s="38"/>
      <c r="AK86" s="359"/>
      <c r="AL86" s="359"/>
      <c r="AM86" s="74">
        <f t="shared" si="47"/>
        <v>4130</v>
      </c>
      <c r="AN86" s="38"/>
      <c r="AO86" s="38"/>
      <c r="AP86" s="74">
        <f t="shared" si="48"/>
        <v>4130</v>
      </c>
      <c r="AQ86" s="38"/>
      <c r="AR86" s="74"/>
      <c r="AS86" s="74">
        <f t="shared" si="49"/>
        <v>4130</v>
      </c>
      <c r="AT86" s="38"/>
      <c r="AU86" s="38"/>
      <c r="AV86" s="38">
        <f t="shared" si="50"/>
        <v>4130</v>
      </c>
      <c r="AW86" s="38"/>
      <c r="AX86" s="38"/>
      <c r="AY86" s="38">
        <f t="shared" si="51"/>
        <v>4130</v>
      </c>
      <c r="AZ86" s="38"/>
      <c r="BA86" s="38"/>
      <c r="BB86" s="38">
        <f t="shared" si="52"/>
        <v>4130</v>
      </c>
      <c r="BC86" s="74"/>
      <c r="BD86" s="74">
        <v>4130</v>
      </c>
      <c r="BE86" s="38">
        <f t="shared" si="54"/>
        <v>0</v>
      </c>
      <c r="BF86" s="38"/>
      <c r="BG86" s="38"/>
      <c r="BH86" s="38">
        <f t="shared" si="55"/>
        <v>0</v>
      </c>
      <c r="BI86" s="38"/>
      <c r="BJ86" s="38"/>
      <c r="BK86" s="38">
        <f t="shared" si="56"/>
        <v>0</v>
      </c>
      <c r="BL86" s="337" t="s">
        <v>56</v>
      </c>
      <c r="BM86" s="10"/>
      <c r="BN86" s="131"/>
      <c r="BO86" s="34"/>
      <c r="BP86" s="34"/>
      <c r="BQ86" s="34"/>
      <c r="BR86" s="34"/>
      <c r="BS86" s="34"/>
      <c r="BT86" s="34"/>
      <c r="BU86" s="34"/>
      <c r="BV86" s="34"/>
      <c r="BW86" s="95"/>
      <c r="BX86" s="95"/>
      <c r="BY86" s="95"/>
      <c r="BZ86" s="95"/>
      <c r="CA86" s="95"/>
      <c r="CB86" s="95"/>
      <c r="CC86" s="99"/>
      <c r="CD86" s="96"/>
      <c r="CE86" s="96"/>
      <c r="CF86" s="781">
        <f t="shared" si="53"/>
        <v>0</v>
      </c>
      <c r="CG86" s="134" t="s">
        <v>971</v>
      </c>
      <c r="CH86" s="134"/>
      <c r="CI86" s="412"/>
      <c r="CJ86" s="412"/>
      <c r="CK86" s="62">
        <v>45748</v>
      </c>
      <c r="CL86" s="62">
        <v>45757</v>
      </c>
      <c r="CM86" s="63" t="s">
        <v>342</v>
      </c>
      <c r="CN86" s="8" t="s">
        <v>45</v>
      </c>
      <c r="CO86" s="8" t="s">
        <v>361</v>
      </c>
      <c r="CP86" s="66" t="str">
        <f t="shared" ref="CP86:CP94" si="76">+CM86</f>
        <v>ZAMBRANO LESCANO HENRY FERNANDO</v>
      </c>
      <c r="CQ86" s="9"/>
      <c r="CR86" s="9"/>
    </row>
    <row r="87" spans="1:96" s="19" customFormat="1" ht="133.19999999999999" customHeight="1" x14ac:dyDescent="0.3">
      <c r="A87" s="4" t="s">
        <v>907</v>
      </c>
      <c r="B87" s="5" t="s">
        <v>90</v>
      </c>
      <c r="C87" s="5" t="s">
        <v>91</v>
      </c>
      <c r="D87" s="5" t="s">
        <v>92</v>
      </c>
      <c r="E87" s="22" t="s">
        <v>182</v>
      </c>
      <c r="F87" s="8" t="s">
        <v>183</v>
      </c>
      <c r="G87" s="32" t="s">
        <v>203</v>
      </c>
      <c r="H87" s="8" t="s">
        <v>204</v>
      </c>
      <c r="I87" s="9" t="s">
        <v>901</v>
      </c>
      <c r="J87" s="8" t="s">
        <v>156</v>
      </c>
      <c r="K87" s="10">
        <v>2025</v>
      </c>
      <c r="L87" s="11" t="s">
        <v>46</v>
      </c>
      <c r="M87" s="11" t="s">
        <v>47</v>
      </c>
      <c r="N87" s="11" t="s">
        <v>47</v>
      </c>
      <c r="O87" s="12">
        <v>10</v>
      </c>
      <c r="P87" s="4" t="s">
        <v>205</v>
      </c>
      <c r="Q87" s="13"/>
      <c r="R87" s="14" t="s">
        <v>48</v>
      </c>
      <c r="S87" s="15" t="s">
        <v>49</v>
      </c>
      <c r="T87" s="15" t="s">
        <v>50</v>
      </c>
      <c r="U87" s="7" t="s">
        <v>160</v>
      </c>
      <c r="V87" s="7" t="s">
        <v>161</v>
      </c>
      <c r="W87" s="7" t="s">
        <v>162</v>
      </c>
      <c r="X87" s="7" t="s">
        <v>163</v>
      </c>
      <c r="Y87" s="16" t="s">
        <v>55</v>
      </c>
      <c r="Z87" s="21">
        <v>300</v>
      </c>
      <c r="AA87" s="55">
        <v>1</v>
      </c>
      <c r="AB87" s="55"/>
      <c r="AC87" s="55"/>
      <c r="AD87" s="18">
        <f t="shared" si="46"/>
        <v>1</v>
      </c>
      <c r="AE87" s="38"/>
      <c r="AF87" s="38"/>
      <c r="AG87" s="38"/>
      <c r="AH87" s="38">
        <f t="shared" si="75"/>
        <v>0</v>
      </c>
      <c r="AI87" s="38"/>
      <c r="AJ87" s="38"/>
      <c r="AK87" s="359"/>
      <c r="AL87" s="359"/>
      <c r="AM87" s="74">
        <f t="shared" si="47"/>
        <v>300</v>
      </c>
      <c r="AN87" s="38"/>
      <c r="AO87" s="38"/>
      <c r="AP87" s="74">
        <f t="shared" si="48"/>
        <v>300</v>
      </c>
      <c r="AQ87" s="38"/>
      <c r="AR87" s="74"/>
      <c r="AS87" s="74">
        <f t="shared" si="49"/>
        <v>300</v>
      </c>
      <c r="AT87" s="38"/>
      <c r="AU87" s="38"/>
      <c r="AV87" s="38">
        <f t="shared" si="50"/>
        <v>300</v>
      </c>
      <c r="AW87" s="38"/>
      <c r="AX87" s="38"/>
      <c r="AY87" s="38">
        <f t="shared" si="51"/>
        <v>300</v>
      </c>
      <c r="AZ87" s="38"/>
      <c r="BA87" s="38"/>
      <c r="BB87" s="38">
        <f t="shared" si="52"/>
        <v>300</v>
      </c>
      <c r="BC87" s="74"/>
      <c r="BD87" s="74">
        <v>300</v>
      </c>
      <c r="BE87" s="38">
        <f t="shared" si="54"/>
        <v>0</v>
      </c>
      <c r="BF87" s="38"/>
      <c r="BG87" s="38"/>
      <c r="BH87" s="38">
        <f t="shared" si="55"/>
        <v>0</v>
      </c>
      <c r="BI87" s="38"/>
      <c r="BJ87" s="38"/>
      <c r="BK87" s="38">
        <f t="shared" si="56"/>
        <v>0</v>
      </c>
      <c r="BL87" s="337" t="s">
        <v>56</v>
      </c>
      <c r="BM87" s="10"/>
      <c r="BN87" s="131"/>
      <c r="BO87" s="34"/>
      <c r="BP87" s="34"/>
      <c r="BQ87" s="34"/>
      <c r="BR87" s="34"/>
      <c r="BS87" s="34"/>
      <c r="BT87" s="34"/>
      <c r="BU87" s="34"/>
      <c r="BV87" s="34"/>
      <c r="BW87" s="95"/>
      <c r="BX87" s="95"/>
      <c r="BY87" s="95"/>
      <c r="BZ87" s="95"/>
      <c r="CA87" s="95"/>
      <c r="CB87" s="95"/>
      <c r="CC87" s="99"/>
      <c r="CD87" s="96"/>
      <c r="CE87" s="96"/>
      <c r="CF87" s="781">
        <f t="shared" si="53"/>
        <v>0</v>
      </c>
      <c r="CG87" s="420" t="s">
        <v>971</v>
      </c>
      <c r="CH87" s="134"/>
      <c r="CI87" s="412"/>
      <c r="CJ87" s="412"/>
      <c r="CK87" s="62">
        <v>45748</v>
      </c>
      <c r="CL87" s="62">
        <v>45757</v>
      </c>
      <c r="CM87" s="63" t="s">
        <v>342</v>
      </c>
      <c r="CN87" s="8" t="s">
        <v>45</v>
      </c>
      <c r="CO87" s="8" t="s">
        <v>361</v>
      </c>
      <c r="CP87" s="66" t="str">
        <f t="shared" si="76"/>
        <v>ZAMBRANO LESCANO HENRY FERNANDO</v>
      </c>
      <c r="CQ87" s="9"/>
      <c r="CR87" s="9"/>
    </row>
    <row r="88" spans="1:96" s="19" customFormat="1" ht="122.7" customHeight="1" x14ac:dyDescent="0.3">
      <c r="A88" s="4" t="s">
        <v>907</v>
      </c>
      <c r="B88" s="5" t="s">
        <v>90</v>
      </c>
      <c r="C88" s="5" t="s">
        <v>91</v>
      </c>
      <c r="D88" s="5" t="s">
        <v>92</v>
      </c>
      <c r="E88" s="22" t="s">
        <v>171</v>
      </c>
      <c r="F88" s="8" t="s">
        <v>172</v>
      </c>
      <c r="G88" s="32" t="s">
        <v>214</v>
      </c>
      <c r="H88" s="8" t="s">
        <v>204</v>
      </c>
      <c r="I88" s="9" t="s">
        <v>901</v>
      </c>
      <c r="J88" s="8" t="s">
        <v>156</v>
      </c>
      <c r="K88" s="10">
        <v>2025</v>
      </c>
      <c r="L88" s="11" t="s">
        <v>46</v>
      </c>
      <c r="M88" s="11" t="s">
        <v>47</v>
      </c>
      <c r="N88" s="11" t="s">
        <v>47</v>
      </c>
      <c r="O88" s="12">
        <v>2</v>
      </c>
      <c r="P88" s="4" t="s">
        <v>215</v>
      </c>
      <c r="Q88" s="13"/>
      <c r="R88" s="14" t="s">
        <v>48</v>
      </c>
      <c r="S88" s="15" t="s">
        <v>49</v>
      </c>
      <c r="T88" s="15" t="s">
        <v>50</v>
      </c>
      <c r="U88" s="7" t="s">
        <v>160</v>
      </c>
      <c r="V88" s="7" t="s">
        <v>161</v>
      </c>
      <c r="W88" s="7" t="s">
        <v>162</v>
      </c>
      <c r="X88" s="7" t="s">
        <v>163</v>
      </c>
      <c r="Y88" s="16" t="s">
        <v>55</v>
      </c>
      <c r="Z88" s="21">
        <v>7400.75</v>
      </c>
      <c r="AA88" s="55">
        <v>1</v>
      </c>
      <c r="AB88" s="55"/>
      <c r="AC88" s="55"/>
      <c r="AD88" s="18">
        <f t="shared" si="46"/>
        <v>1</v>
      </c>
      <c r="AE88" s="38"/>
      <c r="AF88" s="38"/>
      <c r="AG88" s="38"/>
      <c r="AH88" s="38">
        <f t="shared" si="75"/>
        <v>0</v>
      </c>
      <c r="AI88" s="38"/>
      <c r="AJ88" s="38"/>
      <c r="AK88" s="359"/>
      <c r="AL88" s="359"/>
      <c r="AM88" s="74">
        <f t="shared" si="47"/>
        <v>7400.75</v>
      </c>
      <c r="AN88" s="38"/>
      <c r="AO88" s="38"/>
      <c r="AP88" s="74">
        <f t="shared" si="48"/>
        <v>7400.75</v>
      </c>
      <c r="AQ88" s="38"/>
      <c r="AR88" s="38"/>
      <c r="AS88" s="74">
        <f t="shared" si="49"/>
        <v>7400.75</v>
      </c>
      <c r="AT88" s="38"/>
      <c r="AU88" s="38"/>
      <c r="AV88" s="38">
        <f t="shared" si="50"/>
        <v>7400.75</v>
      </c>
      <c r="AW88" s="38"/>
      <c r="AX88" s="38"/>
      <c r="AY88" s="38">
        <f t="shared" si="51"/>
        <v>7400.75</v>
      </c>
      <c r="AZ88" s="38"/>
      <c r="BA88" s="38"/>
      <c r="BB88" s="38">
        <f t="shared" si="52"/>
        <v>7400.75</v>
      </c>
      <c r="BC88" s="74"/>
      <c r="BD88" s="74">
        <v>7400.75</v>
      </c>
      <c r="BE88" s="38">
        <f t="shared" si="54"/>
        <v>0</v>
      </c>
      <c r="BF88" s="38"/>
      <c r="BG88" s="38"/>
      <c r="BH88" s="38">
        <f t="shared" si="55"/>
        <v>0</v>
      </c>
      <c r="BI88" s="38"/>
      <c r="BJ88" s="38"/>
      <c r="BK88" s="38">
        <f t="shared" si="56"/>
        <v>0</v>
      </c>
      <c r="BL88" s="337" t="s">
        <v>56</v>
      </c>
      <c r="BM88" s="37"/>
      <c r="BN88" s="131"/>
      <c r="BO88" s="34"/>
      <c r="BP88" s="34"/>
      <c r="BQ88" s="34"/>
      <c r="BR88" s="34"/>
      <c r="BS88" s="34"/>
      <c r="BT88" s="34"/>
      <c r="BU88" s="34"/>
      <c r="BV88" s="34"/>
      <c r="BW88" s="95"/>
      <c r="BX88" s="95"/>
      <c r="BY88" s="95"/>
      <c r="BZ88" s="95"/>
      <c r="CA88" s="95"/>
      <c r="CB88" s="95"/>
      <c r="CC88" s="99"/>
      <c r="CD88" s="96"/>
      <c r="CE88" s="96"/>
      <c r="CF88" s="781">
        <f t="shared" si="53"/>
        <v>0</v>
      </c>
      <c r="CG88" s="420" t="s">
        <v>971</v>
      </c>
      <c r="CH88" s="134"/>
      <c r="CI88" s="412"/>
      <c r="CJ88" s="412"/>
      <c r="CK88" s="62">
        <v>45736</v>
      </c>
      <c r="CL88" s="62">
        <v>45762</v>
      </c>
      <c r="CM88" s="63" t="s">
        <v>342</v>
      </c>
      <c r="CN88" s="8" t="s">
        <v>362</v>
      </c>
      <c r="CO88" s="8" t="s">
        <v>357</v>
      </c>
      <c r="CP88" s="66" t="str">
        <f t="shared" si="76"/>
        <v>ZAMBRANO LESCANO HENRY FERNANDO</v>
      </c>
      <c r="CQ88" s="9"/>
      <c r="CR88" s="9"/>
    </row>
    <row r="89" spans="1:96" s="19" customFormat="1" ht="117.6" customHeight="1" x14ac:dyDescent="0.3">
      <c r="A89" s="4" t="s">
        <v>907</v>
      </c>
      <c r="B89" s="5" t="s">
        <v>90</v>
      </c>
      <c r="C89" s="5" t="s">
        <v>91</v>
      </c>
      <c r="D89" s="5" t="s">
        <v>92</v>
      </c>
      <c r="E89" s="22" t="s">
        <v>216</v>
      </c>
      <c r="F89" s="39" t="s">
        <v>217</v>
      </c>
      <c r="G89" s="15" t="s">
        <v>214</v>
      </c>
      <c r="H89" s="8" t="s">
        <v>204</v>
      </c>
      <c r="I89" s="9" t="s">
        <v>901</v>
      </c>
      <c r="J89" s="8" t="s">
        <v>156</v>
      </c>
      <c r="K89" s="10">
        <v>2025</v>
      </c>
      <c r="L89" s="11" t="s">
        <v>46</v>
      </c>
      <c r="M89" s="11" t="s">
        <v>47</v>
      </c>
      <c r="N89" s="11" t="s">
        <v>47</v>
      </c>
      <c r="O89" s="12">
        <v>2</v>
      </c>
      <c r="P89" s="4" t="s">
        <v>215</v>
      </c>
      <c r="Q89" s="13"/>
      <c r="R89" s="14" t="s">
        <v>48</v>
      </c>
      <c r="S89" s="15" t="s">
        <v>49</v>
      </c>
      <c r="T89" s="15" t="s">
        <v>50</v>
      </c>
      <c r="U89" s="7" t="s">
        <v>160</v>
      </c>
      <c r="V89" s="7" t="s">
        <v>161</v>
      </c>
      <c r="W89" s="7" t="s">
        <v>162</v>
      </c>
      <c r="X89" s="7" t="s">
        <v>163</v>
      </c>
      <c r="Y89" s="16" t="s">
        <v>55</v>
      </c>
      <c r="Z89" s="21">
        <v>1740</v>
      </c>
      <c r="AA89" s="55">
        <v>1</v>
      </c>
      <c r="AB89" s="55"/>
      <c r="AC89" s="55"/>
      <c r="AD89" s="18">
        <f t="shared" si="46"/>
        <v>1</v>
      </c>
      <c r="AE89" s="38">
        <v>0</v>
      </c>
      <c r="AF89" s="38"/>
      <c r="AG89" s="38"/>
      <c r="AH89" s="38">
        <f t="shared" si="75"/>
        <v>0</v>
      </c>
      <c r="AI89" s="38"/>
      <c r="AJ89" s="38"/>
      <c r="AK89" s="359"/>
      <c r="AL89" s="359"/>
      <c r="AM89" s="74">
        <f t="shared" si="47"/>
        <v>1740</v>
      </c>
      <c r="AN89" s="38"/>
      <c r="AO89" s="38"/>
      <c r="AP89" s="74">
        <f t="shared" si="48"/>
        <v>1740</v>
      </c>
      <c r="AQ89" s="38"/>
      <c r="AR89" s="38">
        <v>197.5</v>
      </c>
      <c r="AS89" s="74">
        <f t="shared" si="49"/>
        <v>1542.5</v>
      </c>
      <c r="AT89" s="38"/>
      <c r="AU89" s="38"/>
      <c r="AV89" s="38">
        <f t="shared" si="50"/>
        <v>1542.5</v>
      </c>
      <c r="AW89" s="38"/>
      <c r="AX89" s="38"/>
      <c r="AY89" s="38">
        <f t="shared" si="51"/>
        <v>1542.5</v>
      </c>
      <c r="AZ89" s="38"/>
      <c r="BA89" s="38"/>
      <c r="BB89" s="38">
        <f t="shared" si="52"/>
        <v>1542.5</v>
      </c>
      <c r="BC89" s="74"/>
      <c r="BD89" s="74">
        <v>1542.5</v>
      </c>
      <c r="BE89" s="38">
        <f t="shared" si="54"/>
        <v>0</v>
      </c>
      <c r="BF89" s="38"/>
      <c r="BG89" s="38"/>
      <c r="BH89" s="38">
        <f t="shared" si="55"/>
        <v>0</v>
      </c>
      <c r="BI89" s="38"/>
      <c r="BJ89" s="38"/>
      <c r="BK89" s="38">
        <f t="shared" si="56"/>
        <v>0</v>
      </c>
      <c r="BL89" s="337" t="s">
        <v>56</v>
      </c>
      <c r="BM89" s="37"/>
      <c r="BN89" s="131"/>
      <c r="BO89" s="34"/>
      <c r="BP89" s="34"/>
      <c r="BQ89" s="34"/>
      <c r="BR89" s="34"/>
      <c r="BS89" s="34"/>
      <c r="BT89" s="34"/>
      <c r="BU89" s="34"/>
      <c r="BV89" s="34"/>
      <c r="BW89" s="95"/>
      <c r="BX89" s="95"/>
      <c r="BY89" s="95"/>
      <c r="BZ89" s="95"/>
      <c r="CA89" s="95"/>
      <c r="CB89" s="95"/>
      <c r="CC89" s="99"/>
      <c r="CD89" s="96"/>
      <c r="CE89" s="96"/>
      <c r="CF89" s="781">
        <f t="shared" si="53"/>
        <v>0</v>
      </c>
      <c r="CG89" s="420" t="s">
        <v>971</v>
      </c>
      <c r="CH89" s="134"/>
      <c r="CI89" s="412"/>
      <c r="CJ89" s="412"/>
      <c r="CK89" s="62">
        <v>45736</v>
      </c>
      <c r="CL89" s="62">
        <v>45762</v>
      </c>
      <c r="CM89" s="63" t="s">
        <v>342</v>
      </c>
      <c r="CN89" s="8" t="s">
        <v>362</v>
      </c>
      <c r="CO89" s="8" t="s">
        <v>357</v>
      </c>
      <c r="CP89" s="66" t="str">
        <f t="shared" si="76"/>
        <v>ZAMBRANO LESCANO HENRY FERNANDO</v>
      </c>
      <c r="CQ89" s="9"/>
      <c r="CR89" s="9"/>
    </row>
    <row r="90" spans="1:96" s="19" customFormat="1" ht="150.6" customHeight="1" x14ac:dyDescent="0.3">
      <c r="A90" s="4" t="s">
        <v>907</v>
      </c>
      <c r="B90" s="5" t="s">
        <v>90</v>
      </c>
      <c r="C90" s="5" t="s">
        <v>91</v>
      </c>
      <c r="D90" s="5" t="s">
        <v>92</v>
      </c>
      <c r="E90" s="22" t="s">
        <v>208</v>
      </c>
      <c r="F90" s="8" t="s">
        <v>209</v>
      </c>
      <c r="G90" s="32" t="s">
        <v>218</v>
      </c>
      <c r="H90" s="8" t="s">
        <v>204</v>
      </c>
      <c r="I90" s="9" t="s">
        <v>901</v>
      </c>
      <c r="J90" s="8" t="s">
        <v>156</v>
      </c>
      <c r="K90" s="10">
        <v>2025</v>
      </c>
      <c r="L90" s="11" t="s">
        <v>46</v>
      </c>
      <c r="M90" s="11" t="s">
        <v>47</v>
      </c>
      <c r="N90" s="11" t="s">
        <v>47</v>
      </c>
      <c r="O90" s="12">
        <v>5</v>
      </c>
      <c r="P90" s="4" t="s">
        <v>219</v>
      </c>
      <c r="Q90" s="13"/>
      <c r="R90" s="14" t="s">
        <v>48</v>
      </c>
      <c r="S90" s="15" t="s">
        <v>49</v>
      </c>
      <c r="T90" s="15" t="s">
        <v>50</v>
      </c>
      <c r="U90" s="9" t="s">
        <v>51</v>
      </c>
      <c r="V90" s="9" t="s">
        <v>52</v>
      </c>
      <c r="W90" s="9" t="s">
        <v>53</v>
      </c>
      <c r="X90" s="9" t="s">
        <v>54</v>
      </c>
      <c r="Y90" s="16" t="s">
        <v>55</v>
      </c>
      <c r="Z90" s="21">
        <v>7063.6</v>
      </c>
      <c r="AA90" s="55">
        <v>1</v>
      </c>
      <c r="AB90" s="55"/>
      <c r="AC90" s="55"/>
      <c r="AD90" s="18">
        <f t="shared" si="46"/>
        <v>1</v>
      </c>
      <c r="AE90" s="38">
        <v>6325</v>
      </c>
      <c r="AF90" s="38"/>
      <c r="AG90" s="38"/>
      <c r="AH90" s="38">
        <f t="shared" si="75"/>
        <v>6325</v>
      </c>
      <c r="AI90" s="38"/>
      <c r="AJ90" s="38"/>
      <c r="AK90" s="359"/>
      <c r="AL90" s="359"/>
      <c r="AM90" s="74">
        <f t="shared" si="47"/>
        <v>7063.6</v>
      </c>
      <c r="AN90" s="38"/>
      <c r="AO90" s="38"/>
      <c r="AP90" s="74">
        <f t="shared" si="48"/>
        <v>7063.6</v>
      </c>
      <c r="AQ90" s="38"/>
      <c r="AR90" s="38"/>
      <c r="AS90" s="74">
        <f t="shared" si="49"/>
        <v>7063.6</v>
      </c>
      <c r="AT90" s="38"/>
      <c r="AU90" s="38"/>
      <c r="AV90" s="38">
        <f t="shared" si="50"/>
        <v>7063.6</v>
      </c>
      <c r="AW90" s="38"/>
      <c r="AX90" s="38"/>
      <c r="AY90" s="38">
        <f t="shared" si="51"/>
        <v>7063.6</v>
      </c>
      <c r="AZ90" s="38"/>
      <c r="BA90" s="38"/>
      <c r="BB90" s="38">
        <f t="shared" si="52"/>
        <v>7063.6</v>
      </c>
      <c r="BC90" s="74"/>
      <c r="BD90" s="74">
        <v>738.60000000000036</v>
      </c>
      <c r="BE90" s="38">
        <f t="shared" si="54"/>
        <v>6325</v>
      </c>
      <c r="BF90" s="38"/>
      <c r="BG90" s="38"/>
      <c r="BH90" s="38">
        <f t="shared" si="55"/>
        <v>6325</v>
      </c>
      <c r="BI90" s="38"/>
      <c r="BJ90" s="38"/>
      <c r="BK90" s="38">
        <f t="shared" si="56"/>
        <v>6325</v>
      </c>
      <c r="BL90" s="337" t="s">
        <v>56</v>
      </c>
      <c r="BM90" s="37"/>
      <c r="BN90" s="131"/>
      <c r="BO90" s="32" t="s">
        <v>492</v>
      </c>
      <c r="BP90" s="67">
        <v>6850.75</v>
      </c>
      <c r="BQ90" s="67"/>
      <c r="BR90" s="34"/>
      <c r="BS90" s="34"/>
      <c r="BT90" s="34"/>
      <c r="BU90" s="34"/>
      <c r="BV90" s="34"/>
      <c r="BW90" s="106" t="s">
        <v>493</v>
      </c>
      <c r="BX90" s="107">
        <v>6850.75</v>
      </c>
      <c r="BY90" s="95"/>
      <c r="BZ90" s="95"/>
      <c r="CA90" s="95"/>
      <c r="CB90" s="95"/>
      <c r="CC90" s="10" t="s">
        <v>501</v>
      </c>
      <c r="CD90" s="67">
        <v>6325</v>
      </c>
      <c r="CE90" s="67">
        <v>6325</v>
      </c>
      <c r="CF90" s="781">
        <f t="shared" si="53"/>
        <v>0</v>
      </c>
      <c r="CG90" s="133" t="s">
        <v>544</v>
      </c>
      <c r="CH90" s="133" t="s">
        <v>544</v>
      </c>
      <c r="CI90" s="133" t="s">
        <v>544</v>
      </c>
      <c r="CJ90" s="133"/>
      <c r="CK90" s="62">
        <v>45705</v>
      </c>
      <c r="CL90" s="62">
        <v>45715</v>
      </c>
      <c r="CM90" s="63" t="s">
        <v>342</v>
      </c>
      <c r="CN90" s="8" t="s">
        <v>45</v>
      </c>
      <c r="CO90" s="8" t="s">
        <v>348</v>
      </c>
      <c r="CP90" s="66" t="str">
        <f t="shared" si="76"/>
        <v>ZAMBRANO LESCANO HENRY FERNANDO</v>
      </c>
      <c r="CQ90" s="9" t="s">
        <v>467</v>
      </c>
      <c r="CR90" s="75" t="s">
        <v>443</v>
      </c>
    </row>
    <row r="91" spans="1:96" s="19" customFormat="1" ht="168.6" customHeight="1" x14ac:dyDescent="0.3">
      <c r="A91" s="4" t="s">
        <v>907</v>
      </c>
      <c r="B91" s="5" t="s">
        <v>90</v>
      </c>
      <c r="C91" s="5" t="s">
        <v>91</v>
      </c>
      <c r="D91" s="5" t="s">
        <v>92</v>
      </c>
      <c r="E91" s="22" t="s">
        <v>208</v>
      </c>
      <c r="F91" s="8" t="s">
        <v>209</v>
      </c>
      <c r="G91" s="15" t="s">
        <v>220</v>
      </c>
      <c r="H91" s="8" t="s">
        <v>204</v>
      </c>
      <c r="I91" s="9" t="s">
        <v>901</v>
      </c>
      <c r="J91" s="8" t="s">
        <v>156</v>
      </c>
      <c r="K91" s="10">
        <v>2025</v>
      </c>
      <c r="L91" s="11" t="s">
        <v>46</v>
      </c>
      <c r="M91" s="11" t="s">
        <v>47</v>
      </c>
      <c r="N91" s="11" t="s">
        <v>47</v>
      </c>
      <c r="O91" s="12">
        <v>5</v>
      </c>
      <c r="P91" s="4" t="s">
        <v>221</v>
      </c>
      <c r="Q91" s="13"/>
      <c r="R91" s="14" t="s">
        <v>48</v>
      </c>
      <c r="S91" s="15" t="s">
        <v>49</v>
      </c>
      <c r="T91" s="15" t="s">
        <v>50</v>
      </c>
      <c r="U91" s="9" t="s">
        <v>51</v>
      </c>
      <c r="V91" s="9" t="s">
        <v>52</v>
      </c>
      <c r="W91" s="9" t="s">
        <v>53</v>
      </c>
      <c r="X91" s="9" t="s">
        <v>54</v>
      </c>
      <c r="Y91" s="16" t="s">
        <v>55</v>
      </c>
      <c r="Z91" s="21">
        <v>2536</v>
      </c>
      <c r="AB91" s="55"/>
      <c r="AC91" s="55">
        <v>1</v>
      </c>
      <c r="AD91" s="18">
        <f t="shared" ref="AD91:AD92" si="77">+AA91+AB91+AC91</f>
        <v>1</v>
      </c>
      <c r="AE91" s="38"/>
      <c r="AF91" s="38"/>
      <c r="AG91" s="38">
        <f>+BK91</f>
        <v>5702</v>
      </c>
      <c r="AH91" s="38">
        <f t="shared" si="75"/>
        <v>5702</v>
      </c>
      <c r="AI91" s="38"/>
      <c r="AJ91" s="38"/>
      <c r="AK91" s="359"/>
      <c r="AL91" s="359"/>
      <c r="AM91" s="74">
        <f t="shared" si="47"/>
        <v>2536</v>
      </c>
      <c r="AN91" s="38"/>
      <c r="AO91" s="38"/>
      <c r="AP91" s="74">
        <f t="shared" si="48"/>
        <v>2536</v>
      </c>
      <c r="AQ91" s="38"/>
      <c r="AR91" s="38"/>
      <c r="AS91" s="74">
        <f t="shared" si="49"/>
        <v>2536</v>
      </c>
      <c r="AT91" s="38"/>
      <c r="AU91" s="38"/>
      <c r="AV91" s="38">
        <f t="shared" si="50"/>
        <v>2536</v>
      </c>
      <c r="AW91" s="38"/>
      <c r="AX91" s="38"/>
      <c r="AY91" s="38">
        <f t="shared" si="51"/>
        <v>2536</v>
      </c>
      <c r="AZ91" s="38"/>
      <c r="BA91" s="38"/>
      <c r="BB91" s="38">
        <f t="shared" si="52"/>
        <v>2536</v>
      </c>
      <c r="BC91" s="74">
        <v>1884</v>
      </c>
      <c r="BD91" s="74"/>
      <c r="BE91" s="38">
        <f t="shared" si="54"/>
        <v>4420</v>
      </c>
      <c r="BF91" s="38">
        <f>680</f>
        <v>680</v>
      </c>
      <c r="BG91" s="38"/>
      <c r="BH91" s="38">
        <f t="shared" si="55"/>
        <v>5100</v>
      </c>
      <c r="BI91" s="38">
        <v>602</v>
      </c>
      <c r="BJ91" s="38"/>
      <c r="BK91" s="38">
        <f t="shared" si="56"/>
        <v>5702</v>
      </c>
      <c r="BL91" s="337" t="s">
        <v>56</v>
      </c>
      <c r="BM91" s="37"/>
      <c r="BN91" s="131"/>
      <c r="BO91" s="573" t="s">
        <v>1057</v>
      </c>
      <c r="BP91" s="67">
        <f>4883+602</f>
        <v>5485</v>
      </c>
      <c r="BQ91" s="67"/>
      <c r="BR91" s="34"/>
      <c r="BS91" s="34"/>
      <c r="BT91" s="34"/>
      <c r="BU91" s="34"/>
      <c r="BV91" s="34"/>
      <c r="BW91" s="34" t="s">
        <v>1058</v>
      </c>
      <c r="BX91" s="67">
        <f>4883+602</f>
        <v>5485</v>
      </c>
      <c r="BY91" s="95"/>
      <c r="BZ91" s="95"/>
      <c r="CA91" s="95"/>
      <c r="CB91" s="95"/>
      <c r="CC91" s="32" t="s">
        <v>1117</v>
      </c>
      <c r="CD91" s="67">
        <f>5485-5485+5485</f>
        <v>5485</v>
      </c>
      <c r="CE91" s="67">
        <f>5485-5485+5485</f>
        <v>5485</v>
      </c>
      <c r="CF91" s="781">
        <f t="shared" si="53"/>
        <v>0</v>
      </c>
      <c r="CG91" s="421" t="s">
        <v>970</v>
      </c>
      <c r="CH91" s="422">
        <v>0.3</v>
      </c>
      <c r="CI91" s="423">
        <v>45947</v>
      </c>
      <c r="CJ91" s="524" t="s">
        <v>440</v>
      </c>
      <c r="CK91" s="62">
        <v>45703</v>
      </c>
      <c r="CL91" s="62">
        <v>45713</v>
      </c>
      <c r="CM91" s="63" t="s">
        <v>342</v>
      </c>
      <c r="CN91" s="8" t="s">
        <v>45</v>
      </c>
      <c r="CO91" s="8" t="s">
        <v>363</v>
      </c>
      <c r="CP91" s="66" t="str">
        <f t="shared" si="76"/>
        <v>ZAMBRANO LESCANO HENRY FERNANDO</v>
      </c>
      <c r="CQ91" s="9" t="s">
        <v>467</v>
      </c>
      <c r="CR91" s="75" t="s">
        <v>470</v>
      </c>
    </row>
    <row r="92" spans="1:96" s="19" customFormat="1" ht="160.19999999999999" customHeight="1" x14ac:dyDescent="0.3">
      <c r="A92" s="4" t="s">
        <v>907</v>
      </c>
      <c r="B92" s="5" t="s">
        <v>90</v>
      </c>
      <c r="C92" s="5" t="s">
        <v>91</v>
      </c>
      <c r="D92" s="5" t="s">
        <v>92</v>
      </c>
      <c r="E92" s="22" t="s">
        <v>212</v>
      </c>
      <c r="F92" s="8" t="s">
        <v>213</v>
      </c>
      <c r="G92" s="15" t="s">
        <v>220</v>
      </c>
      <c r="H92" s="8" t="s">
        <v>204</v>
      </c>
      <c r="I92" s="9" t="s">
        <v>901</v>
      </c>
      <c r="J92" s="8" t="s">
        <v>156</v>
      </c>
      <c r="K92" s="10">
        <v>2025</v>
      </c>
      <c r="L92" s="11" t="s">
        <v>46</v>
      </c>
      <c r="M92" s="11" t="s">
        <v>47</v>
      </c>
      <c r="N92" s="11" t="s">
        <v>47</v>
      </c>
      <c r="O92" s="12">
        <v>5</v>
      </c>
      <c r="P92" s="4" t="s">
        <v>221</v>
      </c>
      <c r="Q92" s="13"/>
      <c r="R92" s="14" t="s">
        <v>48</v>
      </c>
      <c r="S92" s="15" t="s">
        <v>49</v>
      </c>
      <c r="T92" s="15" t="s">
        <v>50</v>
      </c>
      <c r="U92" s="9" t="s">
        <v>51</v>
      </c>
      <c r="V92" s="9" t="s">
        <v>52</v>
      </c>
      <c r="W92" s="9" t="s">
        <v>53</v>
      </c>
      <c r="X92" s="9" t="s">
        <v>54</v>
      </c>
      <c r="Y92" s="16" t="s">
        <v>55</v>
      </c>
      <c r="Z92" s="21">
        <v>818.6</v>
      </c>
      <c r="AB92" s="55"/>
      <c r="AC92" s="55">
        <v>1</v>
      </c>
      <c r="AD92" s="18">
        <f t="shared" si="77"/>
        <v>1</v>
      </c>
      <c r="AE92" s="38"/>
      <c r="AF92" s="38"/>
      <c r="AG92" s="38">
        <f>+BK92</f>
        <v>516.59999999999991</v>
      </c>
      <c r="AH92" s="38">
        <f t="shared" si="75"/>
        <v>516.59999999999991</v>
      </c>
      <c r="AI92" s="38"/>
      <c r="AJ92" s="38"/>
      <c r="AK92" s="359"/>
      <c r="AL92" s="359"/>
      <c r="AM92" s="74">
        <f t="shared" si="47"/>
        <v>818.6</v>
      </c>
      <c r="AN92" s="38"/>
      <c r="AO92" s="38"/>
      <c r="AP92" s="74">
        <f t="shared" si="48"/>
        <v>818.6</v>
      </c>
      <c r="AQ92" s="38"/>
      <c r="AR92" s="38"/>
      <c r="AS92" s="74">
        <f t="shared" si="49"/>
        <v>818.6</v>
      </c>
      <c r="AT92" s="38"/>
      <c r="AU92" s="38"/>
      <c r="AV92" s="38">
        <f t="shared" si="50"/>
        <v>818.6</v>
      </c>
      <c r="AW92" s="38"/>
      <c r="AX92" s="38"/>
      <c r="AY92" s="38">
        <f t="shared" si="51"/>
        <v>818.6</v>
      </c>
      <c r="AZ92" s="38"/>
      <c r="BA92" s="38"/>
      <c r="BB92" s="38">
        <f t="shared" si="52"/>
        <v>818.6</v>
      </c>
      <c r="BC92" s="74"/>
      <c r="BD92" s="74"/>
      <c r="BE92" s="38">
        <f t="shared" si="54"/>
        <v>818.6</v>
      </c>
      <c r="BF92" s="38">
        <v>300</v>
      </c>
      <c r="BG92" s="38"/>
      <c r="BH92" s="38">
        <f t="shared" si="55"/>
        <v>1118.5999999999999</v>
      </c>
      <c r="BI92" s="38"/>
      <c r="BJ92" s="38">
        <v>602</v>
      </c>
      <c r="BK92" s="38">
        <f t="shared" si="56"/>
        <v>516.59999999999991</v>
      </c>
      <c r="BL92" s="337" t="s">
        <v>56</v>
      </c>
      <c r="BM92" s="37"/>
      <c r="BN92" s="131"/>
      <c r="BO92" s="32" t="s">
        <v>1057</v>
      </c>
      <c r="BP92" s="67">
        <f>260+52+27.5+75</f>
        <v>414.5</v>
      </c>
      <c r="BQ92" s="67"/>
      <c r="BR92" s="34"/>
      <c r="BS92" s="34"/>
      <c r="BT92" s="34"/>
      <c r="BU92" s="34"/>
      <c r="BV92" s="34"/>
      <c r="BW92" s="34" t="s">
        <v>1058</v>
      </c>
      <c r="BX92" s="67">
        <f>260+52+27.5+75</f>
        <v>414.5</v>
      </c>
      <c r="BY92" s="96"/>
      <c r="BZ92" s="96"/>
      <c r="CA92" s="96"/>
      <c r="CB92" s="96"/>
      <c r="CC92" s="32" t="s">
        <v>1117</v>
      </c>
      <c r="CD92" s="67">
        <f>414.5-414.5+414.5</f>
        <v>414.5</v>
      </c>
      <c r="CE92" s="67">
        <f>414.5-414.5+414.5</f>
        <v>414.5</v>
      </c>
      <c r="CF92" s="781">
        <f t="shared" si="53"/>
        <v>0</v>
      </c>
      <c r="CG92" s="421" t="s">
        <v>970</v>
      </c>
      <c r="CH92" s="422">
        <v>0.3</v>
      </c>
      <c r="CI92" s="423">
        <v>45947</v>
      </c>
      <c r="CJ92" s="524" t="s">
        <v>440</v>
      </c>
      <c r="CK92" s="62">
        <v>45703</v>
      </c>
      <c r="CL92" s="62">
        <v>45713</v>
      </c>
      <c r="CM92" s="63" t="s">
        <v>342</v>
      </c>
      <c r="CN92" s="8" t="s">
        <v>45</v>
      </c>
      <c r="CO92" s="8" t="s">
        <v>363</v>
      </c>
      <c r="CP92" s="66" t="str">
        <f t="shared" si="76"/>
        <v>ZAMBRANO LESCANO HENRY FERNANDO</v>
      </c>
      <c r="CQ92" s="9" t="s">
        <v>467</v>
      </c>
      <c r="CR92" s="75" t="s">
        <v>470</v>
      </c>
    </row>
    <row r="93" spans="1:96" s="19" customFormat="1" ht="129" customHeight="1" x14ac:dyDescent="0.3">
      <c r="A93" s="4" t="s">
        <v>907</v>
      </c>
      <c r="B93" s="5" t="s">
        <v>90</v>
      </c>
      <c r="C93" s="5" t="s">
        <v>91</v>
      </c>
      <c r="D93" s="5" t="s">
        <v>92</v>
      </c>
      <c r="E93" s="22" t="s">
        <v>265</v>
      </c>
      <c r="F93" s="8" t="s">
        <v>547</v>
      </c>
      <c r="G93" s="15" t="s">
        <v>546</v>
      </c>
      <c r="H93" s="8" t="s">
        <v>204</v>
      </c>
      <c r="I93" s="9" t="s">
        <v>901</v>
      </c>
      <c r="J93" s="8" t="s">
        <v>156</v>
      </c>
      <c r="K93" s="10">
        <v>2025</v>
      </c>
      <c r="L93" s="11" t="s">
        <v>46</v>
      </c>
      <c r="M93" s="11" t="s">
        <v>47</v>
      </c>
      <c r="N93" s="11" t="s">
        <v>47</v>
      </c>
      <c r="O93" s="12" t="s">
        <v>412</v>
      </c>
      <c r="P93" s="4" t="s">
        <v>916</v>
      </c>
      <c r="Q93" s="13"/>
      <c r="R93" s="14" t="s">
        <v>48</v>
      </c>
      <c r="S93" s="15" t="s">
        <v>49</v>
      </c>
      <c r="T93" s="15" t="s">
        <v>50</v>
      </c>
      <c r="U93" s="9" t="s">
        <v>51</v>
      </c>
      <c r="V93" s="9" t="s">
        <v>52</v>
      </c>
      <c r="W93" s="9" t="s">
        <v>53</v>
      </c>
      <c r="X93" s="9" t="s">
        <v>54</v>
      </c>
      <c r="Y93" s="16"/>
      <c r="Z93" s="21"/>
      <c r="AA93" s="55"/>
      <c r="AB93" s="55"/>
      <c r="AC93" s="55">
        <v>1</v>
      </c>
      <c r="AD93" s="18">
        <f t="shared" ref="AD93:AD98" si="78">+AA93+AB93+AC93</f>
        <v>1</v>
      </c>
      <c r="AE93" s="38"/>
      <c r="AF93" s="38"/>
      <c r="AG93" s="38">
        <v>1000</v>
      </c>
      <c r="AH93" s="38">
        <f>+AE93+AF93+AG93</f>
        <v>1000</v>
      </c>
      <c r="AI93" s="38"/>
      <c r="AJ93" s="38"/>
      <c r="AK93" s="359"/>
      <c r="AL93" s="359"/>
      <c r="AM93" s="74"/>
      <c r="AN93" s="38"/>
      <c r="AO93" s="38"/>
      <c r="AP93" s="74"/>
      <c r="AQ93" s="38"/>
      <c r="AR93" s="38"/>
      <c r="AS93" s="74"/>
      <c r="AT93" s="38"/>
      <c r="AU93" s="38"/>
      <c r="AV93" s="38"/>
      <c r="AW93" s="38"/>
      <c r="AX93" s="38"/>
      <c r="AY93" s="38"/>
      <c r="AZ93" s="38"/>
      <c r="BA93" s="38"/>
      <c r="BB93" s="38">
        <f t="shared" si="52"/>
        <v>0</v>
      </c>
      <c r="BC93" s="74">
        <v>1000</v>
      </c>
      <c r="BD93" s="74"/>
      <c r="BE93" s="38">
        <f t="shared" si="54"/>
        <v>1000</v>
      </c>
      <c r="BF93" s="38"/>
      <c r="BG93" s="38"/>
      <c r="BH93" s="38">
        <f t="shared" si="55"/>
        <v>1000</v>
      </c>
      <c r="BI93" s="38"/>
      <c r="BJ93" s="38"/>
      <c r="BK93" s="38">
        <f t="shared" si="56"/>
        <v>1000</v>
      </c>
      <c r="BL93" s="337" t="s">
        <v>56</v>
      </c>
      <c r="BM93" s="37"/>
      <c r="BN93" s="9"/>
      <c r="BO93" s="409" t="s">
        <v>1087</v>
      </c>
      <c r="BP93" s="34">
        <v>814.1</v>
      </c>
      <c r="BQ93" s="34"/>
      <c r="BR93" s="34"/>
      <c r="BS93" s="34"/>
      <c r="BT93" s="34"/>
      <c r="BU93" s="34"/>
      <c r="BV93" s="34"/>
      <c r="BW93" s="34" t="s">
        <v>1088</v>
      </c>
      <c r="BX93" s="67">
        <v>814.1</v>
      </c>
      <c r="BY93" s="95"/>
      <c r="BZ93" s="95"/>
      <c r="CA93" s="95"/>
      <c r="CB93" s="95"/>
      <c r="CC93" s="34" t="s">
        <v>1112</v>
      </c>
      <c r="CD93" s="67">
        <v>814.1</v>
      </c>
      <c r="CE93" s="67">
        <v>814.1</v>
      </c>
      <c r="CF93" s="781">
        <f t="shared" si="53"/>
        <v>0</v>
      </c>
      <c r="CG93" s="134" t="s">
        <v>974</v>
      </c>
      <c r="CH93" s="134"/>
      <c r="CI93" s="412"/>
      <c r="CJ93" s="412"/>
      <c r="CK93" s="62"/>
      <c r="CL93" s="62"/>
      <c r="CM93" s="63"/>
      <c r="CN93" s="8"/>
      <c r="CO93" s="8"/>
      <c r="CP93" s="66"/>
      <c r="CQ93" s="9"/>
      <c r="CR93" s="75"/>
    </row>
    <row r="94" spans="1:96" s="19" customFormat="1" ht="138.6" customHeight="1" x14ac:dyDescent="0.3">
      <c r="A94" s="4" t="s">
        <v>907</v>
      </c>
      <c r="B94" s="5" t="s">
        <v>90</v>
      </c>
      <c r="C94" s="5" t="s">
        <v>91</v>
      </c>
      <c r="D94" s="5" t="s">
        <v>92</v>
      </c>
      <c r="E94" s="22" t="s">
        <v>222</v>
      </c>
      <c r="F94" s="40" t="s">
        <v>223</v>
      </c>
      <c r="G94" s="32" t="s">
        <v>987</v>
      </c>
      <c r="H94" s="8" t="s">
        <v>204</v>
      </c>
      <c r="I94" s="9" t="s">
        <v>901</v>
      </c>
      <c r="J94" s="8" t="s">
        <v>96</v>
      </c>
      <c r="K94" s="10">
        <v>2025</v>
      </c>
      <c r="L94" s="11" t="s">
        <v>46</v>
      </c>
      <c r="M94" s="11" t="s">
        <v>47</v>
      </c>
      <c r="N94" s="11" t="s">
        <v>47</v>
      </c>
      <c r="O94" s="12">
        <v>1</v>
      </c>
      <c r="P94" s="36" t="s">
        <v>225</v>
      </c>
      <c r="Q94" s="13"/>
      <c r="R94" s="14" t="s">
        <v>48</v>
      </c>
      <c r="S94" s="15" t="s">
        <v>49</v>
      </c>
      <c r="T94" s="15" t="s">
        <v>50</v>
      </c>
      <c r="U94" s="9" t="s">
        <v>51</v>
      </c>
      <c r="V94" s="9" t="s">
        <v>52</v>
      </c>
      <c r="W94" s="9" t="s">
        <v>53</v>
      </c>
      <c r="X94" s="9" t="s">
        <v>54</v>
      </c>
      <c r="Y94" s="16" t="s">
        <v>55</v>
      </c>
      <c r="Z94" s="21">
        <v>60</v>
      </c>
      <c r="AA94" s="55"/>
      <c r="AB94" s="55"/>
      <c r="AC94" s="55">
        <v>1</v>
      </c>
      <c r="AD94" s="18">
        <f t="shared" si="78"/>
        <v>1</v>
      </c>
      <c r="AE94" s="38"/>
      <c r="AF94" s="38"/>
      <c r="AG94" s="38">
        <v>60</v>
      </c>
      <c r="AH94" s="38">
        <f t="shared" si="75"/>
        <v>60</v>
      </c>
      <c r="AI94" s="38"/>
      <c r="AJ94" s="38"/>
      <c r="AK94" s="359"/>
      <c r="AL94" s="359"/>
      <c r="AM94" s="74">
        <f t="shared" ref="AM94:AM99" si="79">+Z94+AI94-AJ94+AK94-AL94</f>
        <v>60</v>
      </c>
      <c r="AN94" s="38"/>
      <c r="AO94" s="38"/>
      <c r="AP94" s="74">
        <f t="shared" ref="AP94:AP99" si="80">+AM94+AN94-AO94</f>
        <v>60</v>
      </c>
      <c r="AQ94" s="38"/>
      <c r="AR94" s="38"/>
      <c r="AS94" s="74">
        <f t="shared" ref="AS94:AS99" si="81">+AP94+AQ94-AR94</f>
        <v>60</v>
      </c>
      <c r="AT94" s="38"/>
      <c r="AU94" s="38"/>
      <c r="AV94" s="38">
        <f t="shared" ref="AV94:AV99" si="82">+AS94+AT94-AU94</f>
        <v>60</v>
      </c>
      <c r="AW94" s="38"/>
      <c r="AX94" s="38"/>
      <c r="AY94" s="38">
        <f t="shared" ref="AY94:AY99" si="83">+AV94+AW94-AX94</f>
        <v>60</v>
      </c>
      <c r="AZ94" s="38"/>
      <c r="BA94" s="38"/>
      <c r="BB94" s="38">
        <f t="shared" si="52"/>
        <v>60</v>
      </c>
      <c r="BC94" s="74"/>
      <c r="BD94" s="74"/>
      <c r="BE94" s="38">
        <f t="shared" si="54"/>
        <v>60</v>
      </c>
      <c r="BF94" s="38"/>
      <c r="BG94" s="38"/>
      <c r="BH94" s="38">
        <f t="shared" si="55"/>
        <v>60</v>
      </c>
      <c r="BI94" s="38"/>
      <c r="BJ94" s="38"/>
      <c r="BK94" s="38">
        <f t="shared" si="56"/>
        <v>60</v>
      </c>
      <c r="BL94" s="337" t="s">
        <v>177</v>
      </c>
      <c r="BM94" s="38">
        <v>60</v>
      </c>
      <c r="BN94" s="38">
        <v>60</v>
      </c>
      <c r="BO94" s="34"/>
      <c r="BP94" s="34"/>
      <c r="BQ94" s="34"/>
      <c r="BR94" s="34"/>
      <c r="BS94" s="34"/>
      <c r="BT94" s="34"/>
      <c r="BU94" s="34"/>
      <c r="BV94" s="34"/>
      <c r="BW94" s="95"/>
      <c r="BX94" s="95"/>
      <c r="BY94" s="95"/>
      <c r="BZ94" s="95"/>
      <c r="CA94" s="95"/>
      <c r="CB94" s="95"/>
      <c r="CC94" s="99"/>
      <c r="CD94" s="96"/>
      <c r="CE94" s="96"/>
      <c r="CF94" s="781">
        <f t="shared" si="53"/>
        <v>0</v>
      </c>
      <c r="CG94" s="421" t="s">
        <v>970</v>
      </c>
      <c r="CH94" s="413">
        <v>0.3</v>
      </c>
      <c r="CI94" s="423">
        <v>45947</v>
      </c>
      <c r="CJ94" s="524" t="s">
        <v>470</v>
      </c>
      <c r="CK94" s="9" t="s">
        <v>364</v>
      </c>
      <c r="CL94" s="9" t="s">
        <v>364</v>
      </c>
      <c r="CM94" s="63" t="s">
        <v>342</v>
      </c>
      <c r="CN94" s="8" t="s">
        <v>45</v>
      </c>
      <c r="CO94" s="8" t="s">
        <v>365</v>
      </c>
      <c r="CP94" s="66" t="str">
        <f t="shared" si="76"/>
        <v>ZAMBRANO LESCANO HENRY FERNANDO</v>
      </c>
      <c r="CQ94" s="9"/>
      <c r="CR94" s="9"/>
    </row>
    <row r="95" spans="1:96" s="19" customFormat="1" ht="172.95" customHeight="1" x14ac:dyDescent="0.3">
      <c r="A95" s="4" t="s">
        <v>907</v>
      </c>
      <c r="B95" s="5" t="s">
        <v>90</v>
      </c>
      <c r="C95" s="5" t="s">
        <v>91</v>
      </c>
      <c r="D95" s="5" t="s">
        <v>92</v>
      </c>
      <c r="E95" s="22" t="s">
        <v>222</v>
      </c>
      <c r="F95" s="40" t="s">
        <v>223</v>
      </c>
      <c r="G95" s="32" t="s">
        <v>224</v>
      </c>
      <c r="H95" s="8" t="s">
        <v>204</v>
      </c>
      <c r="I95" s="9" t="s">
        <v>901</v>
      </c>
      <c r="J95" s="8" t="s">
        <v>96</v>
      </c>
      <c r="K95" s="10">
        <v>2025</v>
      </c>
      <c r="L95" s="11" t="s">
        <v>46</v>
      </c>
      <c r="M95" s="11" t="s">
        <v>47</v>
      </c>
      <c r="N95" s="11" t="s">
        <v>47</v>
      </c>
      <c r="O95" s="12">
        <v>1</v>
      </c>
      <c r="P95" s="36" t="s">
        <v>225</v>
      </c>
      <c r="Q95" s="13"/>
      <c r="R95" s="14" t="s">
        <v>48</v>
      </c>
      <c r="S95" s="15" t="s">
        <v>49</v>
      </c>
      <c r="T95" s="15" t="s">
        <v>50</v>
      </c>
      <c r="U95" s="9" t="s">
        <v>51</v>
      </c>
      <c r="V95" s="9" t="s">
        <v>52</v>
      </c>
      <c r="W95" s="9" t="s">
        <v>53</v>
      </c>
      <c r="X95" s="9" t="s">
        <v>54</v>
      </c>
      <c r="Y95" s="16" t="s">
        <v>55</v>
      </c>
      <c r="Z95" s="21">
        <v>30</v>
      </c>
      <c r="AA95" s="55"/>
      <c r="AB95" s="55"/>
      <c r="AC95" s="55">
        <v>1</v>
      </c>
      <c r="AD95" s="18">
        <f t="shared" si="78"/>
        <v>1</v>
      </c>
      <c r="AE95" s="38"/>
      <c r="AF95" s="38"/>
      <c r="AG95" s="38">
        <v>30</v>
      </c>
      <c r="AH95" s="38">
        <f t="shared" si="75"/>
        <v>30</v>
      </c>
      <c r="AI95" s="38"/>
      <c r="AJ95" s="38"/>
      <c r="AK95" s="359"/>
      <c r="AL95" s="359"/>
      <c r="AM95" s="74">
        <f t="shared" si="79"/>
        <v>30</v>
      </c>
      <c r="AN95" s="38"/>
      <c r="AO95" s="38"/>
      <c r="AP95" s="74">
        <f t="shared" si="80"/>
        <v>30</v>
      </c>
      <c r="AQ95" s="38"/>
      <c r="AR95" s="38"/>
      <c r="AS95" s="74">
        <f t="shared" si="81"/>
        <v>30</v>
      </c>
      <c r="AT95" s="38"/>
      <c r="AU95" s="38"/>
      <c r="AV95" s="38">
        <f t="shared" si="82"/>
        <v>30</v>
      </c>
      <c r="AW95" s="38"/>
      <c r="AX95" s="38"/>
      <c r="AY95" s="38">
        <f t="shared" si="83"/>
        <v>30</v>
      </c>
      <c r="AZ95" s="38"/>
      <c r="BA95" s="38"/>
      <c r="BB95" s="38">
        <f t="shared" si="52"/>
        <v>30</v>
      </c>
      <c r="BC95" s="74"/>
      <c r="BD95" s="74"/>
      <c r="BE95" s="38">
        <f t="shared" si="54"/>
        <v>30</v>
      </c>
      <c r="BF95" s="38"/>
      <c r="BG95" s="38"/>
      <c r="BH95" s="38">
        <f t="shared" si="55"/>
        <v>30</v>
      </c>
      <c r="BI95" s="38"/>
      <c r="BJ95" s="38"/>
      <c r="BK95" s="38">
        <f t="shared" si="56"/>
        <v>30</v>
      </c>
      <c r="BL95" s="337" t="s">
        <v>177</v>
      </c>
      <c r="BM95" s="38">
        <v>30</v>
      </c>
      <c r="BN95" s="38">
        <v>30</v>
      </c>
      <c r="BO95" s="32" t="s">
        <v>983</v>
      </c>
      <c r="BP95" s="67">
        <v>30</v>
      </c>
      <c r="BQ95" s="67"/>
      <c r="BR95" s="34"/>
      <c r="BS95" s="34"/>
      <c r="BT95" s="34"/>
      <c r="BU95" s="34"/>
      <c r="BV95" s="34"/>
      <c r="BW95" s="34" t="s">
        <v>984</v>
      </c>
      <c r="BX95" s="67">
        <v>30</v>
      </c>
      <c r="BY95" s="95"/>
      <c r="BZ95" s="95"/>
      <c r="CA95" s="95"/>
      <c r="CB95" s="95"/>
      <c r="CC95" s="34" t="s">
        <v>1077</v>
      </c>
      <c r="CD95" s="67">
        <v>30</v>
      </c>
      <c r="CE95" s="67">
        <v>30</v>
      </c>
      <c r="CF95" s="781">
        <f t="shared" si="53"/>
        <v>0</v>
      </c>
      <c r="CG95" s="135" t="s">
        <v>969</v>
      </c>
      <c r="CH95" s="413">
        <v>0.3</v>
      </c>
      <c r="CI95" s="423">
        <v>45950</v>
      </c>
      <c r="CJ95" s="524" t="s">
        <v>440</v>
      </c>
      <c r="CK95" s="9" t="s">
        <v>364</v>
      </c>
      <c r="CL95" s="9" t="s">
        <v>364</v>
      </c>
      <c r="CM95" s="63" t="s">
        <v>342</v>
      </c>
      <c r="CN95" s="8" t="s">
        <v>45</v>
      </c>
      <c r="CO95" s="8" t="s">
        <v>365</v>
      </c>
      <c r="CP95" s="66" t="str">
        <f t="shared" ref="CP95:CP99" si="84">+CO95</f>
        <v>PAREDES MUÑOZ HENRY PATRICIO</v>
      </c>
      <c r="CQ95" s="9"/>
      <c r="CR95" s="9"/>
    </row>
    <row r="96" spans="1:96" s="19" customFormat="1" ht="156.6" customHeight="1" x14ac:dyDescent="0.3">
      <c r="A96" s="4" t="s">
        <v>907</v>
      </c>
      <c r="B96" s="5" t="s">
        <v>90</v>
      </c>
      <c r="C96" s="5" t="s">
        <v>91</v>
      </c>
      <c r="D96" s="5" t="s">
        <v>92</v>
      </c>
      <c r="E96" s="22" t="s">
        <v>222</v>
      </c>
      <c r="F96" s="40" t="s">
        <v>223</v>
      </c>
      <c r="G96" s="32" t="s">
        <v>986</v>
      </c>
      <c r="H96" s="8" t="s">
        <v>204</v>
      </c>
      <c r="I96" s="9" t="s">
        <v>901</v>
      </c>
      <c r="J96" s="8" t="s">
        <v>96</v>
      </c>
      <c r="K96" s="10">
        <v>2025</v>
      </c>
      <c r="L96" s="11" t="s">
        <v>46</v>
      </c>
      <c r="M96" s="11" t="s">
        <v>47</v>
      </c>
      <c r="N96" s="11" t="s">
        <v>47</v>
      </c>
      <c r="O96" s="12">
        <v>1</v>
      </c>
      <c r="P96" s="36" t="s">
        <v>225</v>
      </c>
      <c r="Q96" s="13"/>
      <c r="R96" s="14" t="s">
        <v>48</v>
      </c>
      <c r="S96" s="15" t="s">
        <v>49</v>
      </c>
      <c r="T96" s="15" t="s">
        <v>50</v>
      </c>
      <c r="U96" s="9" t="s">
        <v>51</v>
      </c>
      <c r="V96" s="9" t="s">
        <v>52</v>
      </c>
      <c r="W96" s="9" t="s">
        <v>53</v>
      </c>
      <c r="X96" s="9" t="s">
        <v>54</v>
      </c>
      <c r="Y96" s="16" t="s">
        <v>55</v>
      </c>
      <c r="Z96" s="21">
        <v>45</v>
      </c>
      <c r="AA96" s="55"/>
      <c r="AB96" s="55"/>
      <c r="AC96" s="55">
        <v>1</v>
      </c>
      <c r="AD96" s="18">
        <f t="shared" si="78"/>
        <v>1</v>
      </c>
      <c r="AE96" s="38"/>
      <c r="AF96" s="38"/>
      <c r="AG96" s="38">
        <f>+BK96</f>
        <v>90</v>
      </c>
      <c r="AH96" s="38">
        <f t="shared" si="75"/>
        <v>90</v>
      </c>
      <c r="AI96" s="38"/>
      <c r="AJ96" s="38"/>
      <c r="AK96" s="359"/>
      <c r="AL96" s="359"/>
      <c r="AM96" s="74">
        <f t="shared" si="79"/>
        <v>45</v>
      </c>
      <c r="AN96" s="38"/>
      <c r="AO96" s="38"/>
      <c r="AP96" s="74">
        <f t="shared" si="80"/>
        <v>45</v>
      </c>
      <c r="AQ96" s="38"/>
      <c r="AR96" s="38"/>
      <c r="AS96" s="74">
        <f t="shared" si="81"/>
        <v>45</v>
      </c>
      <c r="AT96" s="38"/>
      <c r="AU96" s="38"/>
      <c r="AV96" s="38">
        <f t="shared" si="82"/>
        <v>45</v>
      </c>
      <c r="AW96" s="38"/>
      <c r="AX96" s="38"/>
      <c r="AY96" s="38">
        <f t="shared" si="83"/>
        <v>45</v>
      </c>
      <c r="AZ96" s="38"/>
      <c r="BA96" s="38"/>
      <c r="BB96" s="38">
        <f t="shared" si="52"/>
        <v>45</v>
      </c>
      <c r="BC96" s="74"/>
      <c r="BD96" s="74"/>
      <c r="BE96" s="38">
        <f t="shared" si="54"/>
        <v>45</v>
      </c>
      <c r="BF96" s="38">
        <v>45</v>
      </c>
      <c r="BG96" s="38"/>
      <c r="BH96" s="38">
        <f t="shared" si="55"/>
        <v>90</v>
      </c>
      <c r="BI96" s="38"/>
      <c r="BJ96" s="38"/>
      <c r="BK96" s="38">
        <f t="shared" si="56"/>
        <v>90</v>
      </c>
      <c r="BL96" s="337" t="s">
        <v>177</v>
      </c>
      <c r="BM96" s="38">
        <f>45+45</f>
        <v>90</v>
      </c>
      <c r="BN96" s="38">
        <f>45+45</f>
        <v>90</v>
      </c>
      <c r="BO96" s="32" t="s">
        <v>1135</v>
      </c>
      <c r="BP96" s="67">
        <v>90</v>
      </c>
      <c r="BQ96" s="34" t="s">
        <v>1115</v>
      </c>
      <c r="BR96" s="34">
        <v>90</v>
      </c>
      <c r="BS96" s="34" t="s">
        <v>1115</v>
      </c>
      <c r="BT96" s="34">
        <v>90</v>
      </c>
      <c r="BU96" s="34"/>
      <c r="BV96" s="34"/>
      <c r="BW96" s="106" t="s">
        <v>1114</v>
      </c>
      <c r="BX96" s="107">
        <v>90</v>
      </c>
      <c r="BY96" s="95"/>
      <c r="BZ96" s="95"/>
      <c r="CA96" s="95"/>
      <c r="CB96" s="95"/>
      <c r="CC96" s="99"/>
      <c r="CD96" s="96"/>
      <c r="CE96" s="96"/>
      <c r="CF96" s="781">
        <f t="shared" si="53"/>
        <v>0</v>
      </c>
      <c r="CG96" s="135" t="s">
        <v>970</v>
      </c>
      <c r="CH96" s="413">
        <v>0.3</v>
      </c>
      <c r="CI96" s="423">
        <v>45950</v>
      </c>
      <c r="CJ96" s="524" t="s">
        <v>470</v>
      </c>
      <c r="CK96" s="9" t="s">
        <v>364</v>
      </c>
      <c r="CL96" s="9" t="s">
        <v>364</v>
      </c>
      <c r="CM96" s="63" t="s">
        <v>342</v>
      </c>
      <c r="CN96" s="8" t="s">
        <v>45</v>
      </c>
      <c r="CO96" s="8" t="s">
        <v>365</v>
      </c>
      <c r="CP96" s="9" t="str">
        <f t="shared" si="84"/>
        <v>PAREDES MUÑOZ HENRY PATRICIO</v>
      </c>
      <c r="CQ96" s="9"/>
      <c r="CR96" s="9"/>
    </row>
    <row r="97" spans="1:96" s="19" customFormat="1" ht="164.1" customHeight="1" x14ac:dyDescent="0.3">
      <c r="A97" s="4" t="s">
        <v>907</v>
      </c>
      <c r="B97" s="5" t="s">
        <v>90</v>
      </c>
      <c r="C97" s="5" t="s">
        <v>91</v>
      </c>
      <c r="D97" s="5" t="s">
        <v>92</v>
      </c>
      <c r="E97" s="22" t="s">
        <v>222</v>
      </c>
      <c r="F97" s="40" t="s">
        <v>223</v>
      </c>
      <c r="G97" s="32" t="s">
        <v>988</v>
      </c>
      <c r="H97" s="8" t="s">
        <v>204</v>
      </c>
      <c r="I97" s="9" t="s">
        <v>901</v>
      </c>
      <c r="J97" s="8" t="s">
        <v>96</v>
      </c>
      <c r="K97" s="10">
        <v>2025</v>
      </c>
      <c r="L97" s="11" t="s">
        <v>46</v>
      </c>
      <c r="M97" s="11" t="s">
        <v>47</v>
      </c>
      <c r="N97" s="11" t="s">
        <v>47</v>
      </c>
      <c r="O97" s="12">
        <v>1</v>
      </c>
      <c r="P97" s="36" t="s">
        <v>225</v>
      </c>
      <c r="Q97" s="13"/>
      <c r="R97" s="14" t="s">
        <v>48</v>
      </c>
      <c r="S97" s="15" t="s">
        <v>49</v>
      </c>
      <c r="T97" s="15" t="s">
        <v>50</v>
      </c>
      <c r="U97" s="9" t="s">
        <v>51</v>
      </c>
      <c r="V97" s="9" t="s">
        <v>52</v>
      </c>
      <c r="W97" s="9" t="s">
        <v>53</v>
      </c>
      <c r="X97" s="9" t="s">
        <v>54</v>
      </c>
      <c r="Y97" s="16" t="s">
        <v>55</v>
      </c>
      <c r="Z97" s="21">
        <v>60</v>
      </c>
      <c r="AA97" s="55"/>
      <c r="AB97" s="55"/>
      <c r="AC97" s="55">
        <v>1</v>
      </c>
      <c r="AD97" s="18">
        <f t="shared" si="78"/>
        <v>1</v>
      </c>
      <c r="AE97" s="38"/>
      <c r="AF97" s="38"/>
      <c r="AG97" s="38">
        <v>60</v>
      </c>
      <c r="AH97" s="38">
        <f t="shared" si="75"/>
        <v>60</v>
      </c>
      <c r="AI97" s="38"/>
      <c r="AJ97" s="38"/>
      <c r="AK97" s="359"/>
      <c r="AL97" s="359"/>
      <c r="AM97" s="74">
        <f t="shared" si="79"/>
        <v>60</v>
      </c>
      <c r="AN97" s="38"/>
      <c r="AO97" s="38"/>
      <c r="AP97" s="74">
        <f t="shared" si="80"/>
        <v>60</v>
      </c>
      <c r="AQ97" s="38"/>
      <c r="AR97" s="38"/>
      <c r="AS97" s="74">
        <f t="shared" si="81"/>
        <v>60</v>
      </c>
      <c r="AT97" s="38"/>
      <c r="AU97" s="38"/>
      <c r="AV97" s="38">
        <f t="shared" si="82"/>
        <v>60</v>
      </c>
      <c r="AW97" s="38"/>
      <c r="AX97" s="38"/>
      <c r="AY97" s="38">
        <f t="shared" si="83"/>
        <v>60</v>
      </c>
      <c r="AZ97" s="38"/>
      <c r="BA97" s="38"/>
      <c r="BB97" s="38">
        <f t="shared" si="52"/>
        <v>60</v>
      </c>
      <c r="BC97" s="74"/>
      <c r="BD97" s="74"/>
      <c r="BE97" s="38">
        <f t="shared" si="54"/>
        <v>60</v>
      </c>
      <c r="BF97" s="38"/>
      <c r="BG97" s="38"/>
      <c r="BH97" s="38">
        <f t="shared" si="55"/>
        <v>60</v>
      </c>
      <c r="BI97" s="38"/>
      <c r="BJ97" s="38"/>
      <c r="BK97" s="38">
        <f t="shared" si="56"/>
        <v>60</v>
      </c>
      <c r="BL97" s="337" t="s">
        <v>177</v>
      </c>
      <c r="BM97" s="38">
        <v>60</v>
      </c>
      <c r="BN97" s="38">
        <v>60</v>
      </c>
      <c r="BO97" s="68" t="s">
        <v>1096</v>
      </c>
      <c r="BP97" s="67">
        <v>60</v>
      </c>
      <c r="BQ97" s="68" t="s">
        <v>1097</v>
      </c>
      <c r="BR97" s="34">
        <v>60</v>
      </c>
      <c r="BS97" s="68" t="s">
        <v>1097</v>
      </c>
      <c r="BT97" s="34">
        <v>60</v>
      </c>
      <c r="BU97" s="34"/>
      <c r="BV97" s="34"/>
      <c r="BW97" s="106" t="s">
        <v>1095</v>
      </c>
      <c r="BX97" s="107">
        <v>60</v>
      </c>
      <c r="BY97" s="95"/>
      <c r="BZ97" s="95"/>
      <c r="CA97" s="95"/>
      <c r="CB97" s="95"/>
      <c r="CC97" s="106" t="s">
        <v>1113</v>
      </c>
      <c r="CD97" s="107">
        <v>60</v>
      </c>
      <c r="CE97" s="96"/>
      <c r="CF97" s="781">
        <f t="shared" si="53"/>
        <v>-60</v>
      </c>
      <c r="CG97" s="135" t="s">
        <v>970</v>
      </c>
      <c r="CH97" s="413">
        <v>0.3</v>
      </c>
      <c r="CI97" s="423">
        <v>45950</v>
      </c>
      <c r="CJ97" s="524" t="s">
        <v>470</v>
      </c>
      <c r="CK97" s="9" t="s">
        <v>364</v>
      </c>
      <c r="CL97" s="9" t="s">
        <v>364</v>
      </c>
      <c r="CM97" s="63" t="s">
        <v>342</v>
      </c>
      <c r="CN97" s="8" t="s">
        <v>45</v>
      </c>
      <c r="CO97" s="8" t="s">
        <v>365</v>
      </c>
      <c r="CP97" s="9" t="str">
        <f t="shared" si="84"/>
        <v>PAREDES MUÑOZ HENRY PATRICIO</v>
      </c>
      <c r="CQ97" s="9"/>
      <c r="CR97" s="9"/>
    </row>
    <row r="98" spans="1:96" s="19" customFormat="1" ht="164.1" customHeight="1" x14ac:dyDescent="0.3">
      <c r="A98" s="4" t="s">
        <v>907</v>
      </c>
      <c r="B98" s="5" t="s">
        <v>90</v>
      </c>
      <c r="C98" s="5" t="s">
        <v>91</v>
      </c>
      <c r="D98" s="5" t="s">
        <v>92</v>
      </c>
      <c r="E98" s="22" t="s">
        <v>226</v>
      </c>
      <c r="F98" s="41" t="s">
        <v>227</v>
      </c>
      <c r="G98" s="15" t="s">
        <v>995</v>
      </c>
      <c r="H98" s="8" t="s">
        <v>204</v>
      </c>
      <c r="I98" s="9" t="s">
        <v>901</v>
      </c>
      <c r="J98" s="8" t="s">
        <v>96</v>
      </c>
      <c r="K98" s="10">
        <v>2025</v>
      </c>
      <c r="L98" s="11" t="s">
        <v>46</v>
      </c>
      <c r="M98" s="11" t="s">
        <v>47</v>
      </c>
      <c r="N98" s="11" t="s">
        <v>47</v>
      </c>
      <c r="O98" s="12">
        <v>1</v>
      </c>
      <c r="P98" s="4" t="s">
        <v>228</v>
      </c>
      <c r="Q98" s="13"/>
      <c r="R98" s="14" t="s">
        <v>48</v>
      </c>
      <c r="S98" s="15" t="s">
        <v>49</v>
      </c>
      <c r="T98" s="15" t="s">
        <v>50</v>
      </c>
      <c r="U98" s="9" t="s">
        <v>51</v>
      </c>
      <c r="V98" s="9" t="s">
        <v>52</v>
      </c>
      <c r="W98" s="9" t="s">
        <v>53</v>
      </c>
      <c r="X98" s="9" t="s">
        <v>54</v>
      </c>
      <c r="Y98" s="16" t="s">
        <v>55</v>
      </c>
      <c r="Z98" s="21">
        <f>(35000/12)*7</f>
        <v>20416.666666666664</v>
      </c>
      <c r="AA98" s="55"/>
      <c r="AB98" s="55"/>
      <c r="AC98" s="55">
        <v>1</v>
      </c>
      <c r="AD98" s="18">
        <f t="shared" si="78"/>
        <v>1</v>
      </c>
      <c r="AE98" s="38"/>
      <c r="AF98" s="38"/>
      <c r="AG98" s="38">
        <v>20416.666666666664</v>
      </c>
      <c r="AH98" s="38">
        <f t="shared" si="75"/>
        <v>20416.666666666664</v>
      </c>
      <c r="AI98" s="38"/>
      <c r="AJ98" s="38"/>
      <c r="AK98" s="359"/>
      <c r="AL98" s="359"/>
      <c r="AM98" s="74">
        <f t="shared" si="79"/>
        <v>20416.666666666664</v>
      </c>
      <c r="AN98" s="38"/>
      <c r="AO98" s="38"/>
      <c r="AP98" s="74">
        <f t="shared" si="80"/>
        <v>20416.666666666664</v>
      </c>
      <c r="AQ98" s="38"/>
      <c r="AR98" s="38"/>
      <c r="AS98" s="74">
        <f t="shared" si="81"/>
        <v>20416.666666666664</v>
      </c>
      <c r="AT98" s="38"/>
      <c r="AU98" s="38"/>
      <c r="AV98" s="38">
        <f t="shared" si="82"/>
        <v>20416.666666666664</v>
      </c>
      <c r="AW98" s="38"/>
      <c r="AX98" s="38"/>
      <c r="AY98" s="38">
        <f t="shared" si="83"/>
        <v>20416.666666666664</v>
      </c>
      <c r="AZ98" s="38"/>
      <c r="BA98" s="38"/>
      <c r="BB98" s="38">
        <f t="shared" si="52"/>
        <v>20416.666666666664</v>
      </c>
      <c r="BC98" s="74"/>
      <c r="BD98" s="74"/>
      <c r="BE98" s="38">
        <f t="shared" si="54"/>
        <v>20416.666666666664</v>
      </c>
      <c r="BF98" s="38"/>
      <c r="BG98" s="38"/>
      <c r="BH98" s="38">
        <f t="shared" si="55"/>
        <v>20416.666666666664</v>
      </c>
      <c r="BI98" s="38"/>
      <c r="BJ98" s="38"/>
      <c r="BK98" s="38">
        <f t="shared" si="56"/>
        <v>20416.666666666664</v>
      </c>
      <c r="BL98" s="337" t="s">
        <v>177</v>
      </c>
      <c r="BM98" s="38">
        <f>35000-Z98</f>
        <v>14583.333333333336</v>
      </c>
      <c r="BN98" s="337"/>
      <c r="BO98" s="34"/>
      <c r="BP98" s="34"/>
      <c r="BQ98" s="34"/>
      <c r="BR98" s="34"/>
      <c r="BS98" s="34"/>
      <c r="BT98" s="34"/>
      <c r="BU98" s="34"/>
      <c r="BV98" s="34"/>
      <c r="BW98" s="95"/>
      <c r="BX98" s="95"/>
      <c r="BY98" s="95"/>
      <c r="BZ98" s="95"/>
      <c r="CA98" s="95"/>
      <c r="CB98" s="95"/>
      <c r="CC98" s="99"/>
      <c r="CD98" s="96"/>
      <c r="CE98" s="96"/>
      <c r="CF98" s="781">
        <f t="shared" si="53"/>
        <v>0</v>
      </c>
      <c r="CG98" s="135" t="s">
        <v>467</v>
      </c>
      <c r="CH98" s="413">
        <v>0.3</v>
      </c>
      <c r="CI98" s="423">
        <v>45950</v>
      </c>
      <c r="CJ98" s="524" t="s">
        <v>470</v>
      </c>
      <c r="CK98" s="62">
        <v>45686</v>
      </c>
      <c r="CL98" s="62">
        <v>45693</v>
      </c>
      <c r="CM98" s="63" t="s">
        <v>342</v>
      </c>
      <c r="CN98" s="8" t="s">
        <v>357</v>
      </c>
      <c r="CO98" s="8" t="s">
        <v>333</v>
      </c>
      <c r="CP98" s="9" t="str">
        <f t="shared" si="84"/>
        <v>EDISON STALIN MEDINA ARIAS</v>
      </c>
      <c r="CQ98" s="9" t="s">
        <v>467</v>
      </c>
      <c r="CR98" s="75" t="s">
        <v>443</v>
      </c>
    </row>
    <row r="99" spans="1:96" s="19" customFormat="1" ht="164.1" customHeight="1" x14ac:dyDescent="0.3">
      <c r="A99" s="4" t="s">
        <v>907</v>
      </c>
      <c r="B99" s="5" t="s">
        <v>90</v>
      </c>
      <c r="C99" s="5" t="s">
        <v>91</v>
      </c>
      <c r="D99" s="5" t="s">
        <v>92</v>
      </c>
      <c r="E99" s="22" t="s">
        <v>265</v>
      </c>
      <c r="F99" s="8" t="s">
        <v>547</v>
      </c>
      <c r="G99" s="32" t="s">
        <v>989</v>
      </c>
      <c r="H99" s="8" t="s">
        <v>204</v>
      </c>
      <c r="I99" s="9" t="s">
        <v>901</v>
      </c>
      <c r="J99" s="8" t="s">
        <v>96</v>
      </c>
      <c r="K99" s="10">
        <v>2025</v>
      </c>
      <c r="L99" s="11" t="s">
        <v>46</v>
      </c>
      <c r="M99" s="11" t="s">
        <v>47</v>
      </c>
      <c r="N99" s="11" t="s">
        <v>47</v>
      </c>
      <c r="O99" s="12">
        <v>1</v>
      </c>
      <c r="P99" s="4" t="s">
        <v>228</v>
      </c>
      <c r="Q99" s="13"/>
      <c r="R99" s="14" t="s">
        <v>48</v>
      </c>
      <c r="S99" s="15" t="s">
        <v>49</v>
      </c>
      <c r="T99" s="15" t="s">
        <v>50</v>
      </c>
      <c r="U99" s="9" t="s">
        <v>51</v>
      </c>
      <c r="V99" s="9" t="s">
        <v>52</v>
      </c>
      <c r="W99" s="9" t="s">
        <v>53</v>
      </c>
      <c r="X99" s="9" t="s">
        <v>54</v>
      </c>
      <c r="Y99" s="16" t="s">
        <v>55</v>
      </c>
      <c r="Z99" s="21">
        <f>(35000/12)*7</f>
        <v>20416.666666666664</v>
      </c>
      <c r="AA99" s="55"/>
      <c r="AB99" s="55"/>
      <c r="AC99" s="55">
        <v>1</v>
      </c>
      <c r="AD99" s="18">
        <f t="shared" ref="AD99" si="85">+AA99+AB99+AC99</f>
        <v>1</v>
      </c>
      <c r="AE99" s="38"/>
      <c r="AF99" s="38"/>
      <c r="AG99" s="38">
        <f>+BK99</f>
        <v>400</v>
      </c>
      <c r="AH99" s="38">
        <f t="shared" ref="AH99" si="86">+AE99+AF99+AG99</f>
        <v>400</v>
      </c>
      <c r="AI99" s="38"/>
      <c r="AJ99" s="38"/>
      <c r="AK99" s="359"/>
      <c r="AL99" s="359"/>
      <c r="AM99" s="74">
        <f t="shared" si="79"/>
        <v>20416.666666666664</v>
      </c>
      <c r="AN99" s="38"/>
      <c r="AO99" s="38"/>
      <c r="AP99" s="74">
        <f t="shared" si="80"/>
        <v>20416.666666666664</v>
      </c>
      <c r="AQ99" s="38"/>
      <c r="AR99" s="38"/>
      <c r="AS99" s="74">
        <f t="shared" si="81"/>
        <v>20416.666666666664</v>
      </c>
      <c r="AT99" s="38"/>
      <c r="AU99" s="38"/>
      <c r="AV99" s="38">
        <f t="shared" si="82"/>
        <v>20416.666666666664</v>
      </c>
      <c r="AW99" s="38"/>
      <c r="AX99" s="38"/>
      <c r="AY99" s="38">
        <f t="shared" si="83"/>
        <v>20416.666666666664</v>
      </c>
      <c r="AZ99" s="38"/>
      <c r="BA99" s="38"/>
      <c r="BB99" s="38">
        <f t="shared" ref="BB99" si="87">+AY99+AZ99-BA99</f>
        <v>20416.666666666664</v>
      </c>
      <c r="BC99" s="74"/>
      <c r="BD99" s="74"/>
      <c r="BE99" s="38">
        <v>0</v>
      </c>
      <c r="BF99" s="38">
        <v>400</v>
      </c>
      <c r="BG99" s="38"/>
      <c r="BH99" s="38">
        <f t="shared" si="55"/>
        <v>400</v>
      </c>
      <c r="BI99" s="38"/>
      <c r="BJ99" s="38"/>
      <c r="BK99" s="38">
        <f t="shared" si="56"/>
        <v>400</v>
      </c>
      <c r="BL99" s="337" t="s">
        <v>56</v>
      </c>
      <c r="BM99" s="38"/>
      <c r="BN99" s="337"/>
      <c r="BO99" s="32" t="s">
        <v>1065</v>
      </c>
      <c r="BP99" s="67">
        <v>345</v>
      </c>
      <c r="BQ99" s="67"/>
      <c r="BR99" s="34"/>
      <c r="BS99" s="34"/>
      <c r="BT99" s="34"/>
      <c r="BU99" s="34"/>
      <c r="BV99" s="34"/>
      <c r="BW99" s="34" t="s">
        <v>1066</v>
      </c>
      <c r="BX99" s="67">
        <v>345</v>
      </c>
      <c r="BY99" s="95"/>
      <c r="BZ99" s="95"/>
      <c r="CA99" s="95"/>
      <c r="CB99" s="95"/>
      <c r="CC99" s="34" t="s">
        <v>1110</v>
      </c>
      <c r="CD99" s="107">
        <v>338</v>
      </c>
      <c r="CE99" s="67">
        <v>338</v>
      </c>
      <c r="CF99" s="781">
        <f t="shared" si="53"/>
        <v>0</v>
      </c>
      <c r="CG99" s="135" t="s">
        <v>467</v>
      </c>
      <c r="CH99" s="413">
        <v>0.3</v>
      </c>
      <c r="CI99" s="423">
        <v>45950</v>
      </c>
      <c r="CJ99" s="524" t="s">
        <v>470</v>
      </c>
      <c r="CK99" s="62">
        <v>45686</v>
      </c>
      <c r="CL99" s="62">
        <v>45693</v>
      </c>
      <c r="CM99" s="63" t="s">
        <v>342</v>
      </c>
      <c r="CN99" s="8" t="s">
        <v>357</v>
      </c>
      <c r="CO99" s="8" t="s">
        <v>333</v>
      </c>
      <c r="CP99" s="9" t="str">
        <f t="shared" si="84"/>
        <v>EDISON STALIN MEDINA ARIAS</v>
      </c>
      <c r="CQ99" s="9" t="s">
        <v>467</v>
      </c>
      <c r="CR99" s="75" t="s">
        <v>443</v>
      </c>
    </row>
    <row r="100" spans="1:96" s="19" customFormat="1" ht="216.75" customHeight="1" x14ac:dyDescent="0.3">
      <c r="A100" s="4" t="s">
        <v>907</v>
      </c>
      <c r="B100" s="47" t="s">
        <v>90</v>
      </c>
      <c r="C100" s="48" t="s">
        <v>232</v>
      </c>
      <c r="D100" s="48" t="s">
        <v>233</v>
      </c>
      <c r="E100" s="49" t="s">
        <v>222</v>
      </c>
      <c r="F100" s="50" t="s">
        <v>223</v>
      </c>
      <c r="G100" s="328" t="s">
        <v>234</v>
      </c>
      <c r="H100" s="50" t="s">
        <v>204</v>
      </c>
      <c r="I100" s="9" t="s">
        <v>901</v>
      </c>
      <c r="J100" s="9" t="s">
        <v>96</v>
      </c>
      <c r="K100" s="10">
        <v>2025</v>
      </c>
      <c r="L100" s="11" t="s">
        <v>56</v>
      </c>
      <c r="M100" s="11" t="s">
        <v>47</v>
      </c>
      <c r="N100" s="11" t="s">
        <v>47</v>
      </c>
      <c r="O100" s="12">
        <v>1</v>
      </c>
      <c r="P100" s="36" t="s">
        <v>235</v>
      </c>
      <c r="Q100" s="13"/>
      <c r="R100" s="14" t="s">
        <v>48</v>
      </c>
      <c r="S100" s="15" t="s">
        <v>49</v>
      </c>
      <c r="T100" s="15" t="s">
        <v>50</v>
      </c>
      <c r="U100" s="9" t="s">
        <v>51</v>
      </c>
      <c r="V100" s="9" t="s">
        <v>52</v>
      </c>
      <c r="W100" s="9" t="s">
        <v>53</v>
      </c>
      <c r="X100" s="9" t="s">
        <v>54</v>
      </c>
      <c r="Y100" s="16" t="s">
        <v>55</v>
      </c>
      <c r="Z100" s="21">
        <v>45</v>
      </c>
      <c r="AA100" s="55"/>
      <c r="AB100" s="55">
        <v>1</v>
      </c>
      <c r="AC100" s="55"/>
      <c r="AD100" s="18">
        <f t="shared" si="44"/>
        <v>1</v>
      </c>
      <c r="AE100" s="38"/>
      <c r="AF100" s="38">
        <v>45</v>
      </c>
      <c r="AG100" s="38"/>
      <c r="AH100" s="38">
        <f t="shared" si="75"/>
        <v>45</v>
      </c>
      <c r="AI100" s="38"/>
      <c r="AJ100" s="38"/>
      <c r="AK100" s="359"/>
      <c r="AL100" s="359"/>
      <c r="AM100" s="74">
        <f t="shared" ref="AM100:AM157" si="88">+Z100+AI100-AJ100+AK100-AL100</f>
        <v>45</v>
      </c>
      <c r="AN100" s="38"/>
      <c r="AO100" s="38"/>
      <c r="AP100" s="74">
        <f t="shared" ref="AP100:AP157" si="89">+AM100+AN100-AO100</f>
        <v>45</v>
      </c>
      <c r="AQ100" s="38"/>
      <c r="AR100" s="38"/>
      <c r="AS100" s="74">
        <f t="shared" ref="AS100:AS157" si="90">+AP100+AQ100-AR100</f>
        <v>45</v>
      </c>
      <c r="AT100" s="38"/>
      <c r="AU100" s="38"/>
      <c r="AV100" s="38">
        <f t="shared" ref="AV100:AV157" si="91">+AS100+AT100-AU100</f>
        <v>45</v>
      </c>
      <c r="AW100" s="38"/>
      <c r="AX100" s="38"/>
      <c r="AY100" s="38">
        <f t="shared" ref="AY100:AY157" si="92">+AV100+AW100-AX100</f>
        <v>45</v>
      </c>
      <c r="AZ100" s="38"/>
      <c r="BA100" s="38"/>
      <c r="BB100" s="38">
        <f t="shared" ref="BB100:BB156" si="93">+AY100+AZ100-BA100</f>
        <v>45</v>
      </c>
      <c r="BC100" s="74"/>
      <c r="BD100" s="74"/>
      <c r="BE100" s="38">
        <f t="shared" si="54"/>
        <v>45</v>
      </c>
      <c r="BF100" s="38"/>
      <c r="BG100" s="38"/>
      <c r="BH100" s="38">
        <f t="shared" si="55"/>
        <v>45</v>
      </c>
      <c r="BI100" s="38"/>
      <c r="BJ100" s="38"/>
      <c r="BK100" s="38">
        <f t="shared" si="56"/>
        <v>45</v>
      </c>
      <c r="BL100" s="337" t="s">
        <v>177</v>
      </c>
      <c r="BM100" s="38">
        <v>45</v>
      </c>
      <c r="BN100" s="38">
        <v>45</v>
      </c>
      <c r="BO100" s="32" t="s">
        <v>491</v>
      </c>
      <c r="BP100" s="67">
        <v>45</v>
      </c>
      <c r="BQ100" s="67"/>
      <c r="BR100" s="34"/>
      <c r="BS100" s="34"/>
      <c r="BT100" s="34"/>
      <c r="BU100" s="34"/>
      <c r="BV100" s="34"/>
      <c r="BW100" s="106" t="s">
        <v>445</v>
      </c>
      <c r="BX100" s="107">
        <v>45</v>
      </c>
      <c r="BY100" s="95"/>
      <c r="BZ100" s="95"/>
      <c r="CA100" s="95"/>
      <c r="CB100" s="95"/>
      <c r="CC100" s="10" t="s">
        <v>490</v>
      </c>
      <c r="CD100" s="67">
        <v>45</v>
      </c>
      <c r="CE100" s="67">
        <v>45</v>
      </c>
      <c r="CF100" s="781">
        <f t="shared" si="53"/>
        <v>0</v>
      </c>
      <c r="CG100" s="133" t="s">
        <v>544</v>
      </c>
      <c r="CH100" s="133" t="s">
        <v>544</v>
      </c>
      <c r="CI100" s="133" t="s">
        <v>544</v>
      </c>
      <c r="CJ100" s="133"/>
      <c r="CK100" s="8" t="s">
        <v>45</v>
      </c>
      <c r="CL100" s="8" t="s">
        <v>45</v>
      </c>
      <c r="CM100" s="8" t="s">
        <v>45</v>
      </c>
      <c r="CN100" s="8" t="s">
        <v>45</v>
      </c>
      <c r="CO100" s="8" t="s">
        <v>45</v>
      </c>
      <c r="CP100" s="9" t="s">
        <v>382</v>
      </c>
      <c r="CQ100" s="9" t="s">
        <v>468</v>
      </c>
      <c r="CR100" s="9"/>
    </row>
    <row r="101" spans="1:96" s="19" customFormat="1" ht="131.69999999999999" customHeight="1" x14ac:dyDescent="0.3">
      <c r="A101" s="4" t="s">
        <v>907</v>
      </c>
      <c r="B101" s="47" t="s">
        <v>90</v>
      </c>
      <c r="C101" s="48" t="s">
        <v>232</v>
      </c>
      <c r="D101" s="48" t="s">
        <v>233</v>
      </c>
      <c r="E101" s="49" t="s">
        <v>171</v>
      </c>
      <c r="F101" s="51" t="s">
        <v>408</v>
      </c>
      <c r="G101" s="325" t="s">
        <v>404</v>
      </c>
      <c r="H101" s="48" t="s">
        <v>204</v>
      </c>
      <c r="I101" s="9" t="s">
        <v>901</v>
      </c>
      <c r="J101" s="9" t="s">
        <v>156</v>
      </c>
      <c r="K101" s="10">
        <v>2025</v>
      </c>
      <c r="L101" s="11" t="s">
        <v>56</v>
      </c>
      <c r="M101" s="11" t="s">
        <v>47</v>
      </c>
      <c r="N101" s="11" t="s">
        <v>47</v>
      </c>
      <c r="O101" s="12" t="s">
        <v>412</v>
      </c>
      <c r="P101" s="36"/>
      <c r="Q101" s="13"/>
      <c r="R101" s="14" t="s">
        <v>48</v>
      </c>
      <c r="S101" s="15" t="s">
        <v>49</v>
      </c>
      <c r="T101" s="15" t="s">
        <v>50</v>
      </c>
      <c r="U101" s="9" t="s">
        <v>51</v>
      </c>
      <c r="V101" s="9" t="s">
        <v>52</v>
      </c>
      <c r="W101" s="9" t="s">
        <v>53</v>
      </c>
      <c r="X101" s="9" t="s">
        <v>54</v>
      </c>
      <c r="Y101" s="16" t="s">
        <v>55</v>
      </c>
      <c r="Z101" s="21"/>
      <c r="AA101" s="55">
        <v>1</v>
      </c>
      <c r="AB101" s="55"/>
      <c r="AC101" s="55"/>
      <c r="AD101" s="18">
        <f t="shared" si="44"/>
        <v>1</v>
      </c>
      <c r="AE101" s="38">
        <v>3150</v>
      </c>
      <c r="AF101" s="38"/>
      <c r="AG101" s="38"/>
      <c r="AH101" s="38">
        <f t="shared" si="75"/>
        <v>3150</v>
      </c>
      <c r="AI101" s="38"/>
      <c r="AJ101" s="38"/>
      <c r="AK101" s="74">
        <v>3150</v>
      </c>
      <c r="AL101" s="359"/>
      <c r="AM101" s="74">
        <f t="shared" si="88"/>
        <v>3150</v>
      </c>
      <c r="AN101" s="38"/>
      <c r="AO101" s="38"/>
      <c r="AP101" s="74">
        <f t="shared" si="89"/>
        <v>3150</v>
      </c>
      <c r="AQ101" s="38"/>
      <c r="AR101" s="38"/>
      <c r="AS101" s="74">
        <f t="shared" si="90"/>
        <v>3150</v>
      </c>
      <c r="AT101" s="38"/>
      <c r="AU101" s="38"/>
      <c r="AV101" s="38">
        <f t="shared" si="91"/>
        <v>3150</v>
      </c>
      <c r="AW101" s="38"/>
      <c r="AX101" s="38"/>
      <c r="AY101" s="38">
        <f t="shared" si="92"/>
        <v>3150</v>
      </c>
      <c r="AZ101" s="38"/>
      <c r="BA101" s="38"/>
      <c r="BB101" s="38">
        <f t="shared" si="93"/>
        <v>3150</v>
      </c>
      <c r="BC101" s="74"/>
      <c r="BD101" s="74"/>
      <c r="BE101" s="38">
        <f t="shared" si="54"/>
        <v>3150</v>
      </c>
      <c r="BF101" s="38"/>
      <c r="BG101" s="38"/>
      <c r="BH101" s="38">
        <f t="shared" si="55"/>
        <v>3150</v>
      </c>
      <c r="BI101" s="38"/>
      <c r="BJ101" s="38"/>
      <c r="BK101" s="38">
        <f t="shared" si="56"/>
        <v>3150</v>
      </c>
      <c r="BL101" s="337"/>
      <c r="BM101" s="37"/>
      <c r="BN101" s="131"/>
      <c r="BO101" s="34"/>
      <c r="BP101" s="34"/>
      <c r="BQ101" s="34"/>
      <c r="BR101" s="34"/>
      <c r="BS101" s="34"/>
      <c r="BT101" s="34"/>
      <c r="BU101" s="34"/>
      <c r="BV101" s="34"/>
      <c r="BW101" s="95"/>
      <c r="BX101" s="95"/>
      <c r="BY101" s="95"/>
      <c r="BZ101" s="95"/>
      <c r="CA101" s="95"/>
      <c r="CB101" s="95"/>
      <c r="CC101" s="10" t="s">
        <v>460</v>
      </c>
      <c r="CD101" s="67">
        <v>3150</v>
      </c>
      <c r="CE101" s="67">
        <v>3150</v>
      </c>
      <c r="CF101" s="781">
        <f t="shared" si="53"/>
        <v>0</v>
      </c>
      <c r="CG101" s="133" t="s">
        <v>544</v>
      </c>
      <c r="CH101" s="133" t="s">
        <v>544</v>
      </c>
      <c r="CI101" s="133" t="s">
        <v>544</v>
      </c>
      <c r="CJ101" s="133"/>
      <c r="CK101" s="8"/>
      <c r="CL101" s="8"/>
      <c r="CM101" s="8"/>
      <c r="CN101" s="8"/>
      <c r="CO101" s="8"/>
      <c r="CP101" s="9"/>
      <c r="CQ101" s="9" t="s">
        <v>469</v>
      </c>
      <c r="CR101" s="9" t="s">
        <v>440</v>
      </c>
    </row>
    <row r="102" spans="1:96" s="19" customFormat="1" ht="143.69999999999999" customHeight="1" x14ac:dyDescent="0.3">
      <c r="A102" s="4" t="s">
        <v>907</v>
      </c>
      <c r="B102" s="47" t="s">
        <v>90</v>
      </c>
      <c r="C102" s="48" t="s">
        <v>232</v>
      </c>
      <c r="D102" s="48" t="s">
        <v>233</v>
      </c>
      <c r="E102" s="49" t="s">
        <v>208</v>
      </c>
      <c r="F102" s="51" t="s">
        <v>209</v>
      </c>
      <c r="G102" s="325" t="s">
        <v>404</v>
      </c>
      <c r="H102" s="48" t="s">
        <v>204</v>
      </c>
      <c r="I102" s="9" t="s">
        <v>901</v>
      </c>
      <c r="J102" s="9" t="s">
        <v>156</v>
      </c>
      <c r="K102" s="10">
        <v>2025</v>
      </c>
      <c r="L102" s="11" t="s">
        <v>56</v>
      </c>
      <c r="M102" s="11" t="s">
        <v>47</v>
      </c>
      <c r="N102" s="11" t="s">
        <v>47</v>
      </c>
      <c r="O102" s="12" t="s">
        <v>412</v>
      </c>
      <c r="P102" s="36"/>
      <c r="Q102" s="13"/>
      <c r="R102" s="14" t="s">
        <v>48</v>
      </c>
      <c r="S102" s="15" t="s">
        <v>49</v>
      </c>
      <c r="T102" s="15" t="s">
        <v>50</v>
      </c>
      <c r="U102" s="9" t="s">
        <v>51</v>
      </c>
      <c r="V102" s="9" t="s">
        <v>52</v>
      </c>
      <c r="W102" s="9" t="s">
        <v>53</v>
      </c>
      <c r="X102" s="9" t="s">
        <v>54</v>
      </c>
      <c r="Y102" s="16" t="s">
        <v>55</v>
      </c>
      <c r="Z102" s="21"/>
      <c r="AA102" s="55">
        <v>1</v>
      </c>
      <c r="AB102" s="55"/>
      <c r="AC102" s="55"/>
      <c r="AD102" s="18">
        <f t="shared" ref="AD102:AD107" si="94">+AA102+AB102+AC102</f>
        <v>1</v>
      </c>
      <c r="AE102" s="38">
        <v>790</v>
      </c>
      <c r="AF102" s="38"/>
      <c r="AG102" s="38"/>
      <c r="AH102" s="38">
        <f t="shared" si="75"/>
        <v>790</v>
      </c>
      <c r="AI102" s="38"/>
      <c r="AJ102" s="38"/>
      <c r="AK102" s="74">
        <v>790</v>
      </c>
      <c r="AL102" s="359"/>
      <c r="AM102" s="74">
        <f t="shared" si="88"/>
        <v>790</v>
      </c>
      <c r="AN102" s="38"/>
      <c r="AO102" s="38"/>
      <c r="AP102" s="74">
        <f t="shared" si="89"/>
        <v>790</v>
      </c>
      <c r="AQ102" s="38"/>
      <c r="AR102" s="38"/>
      <c r="AS102" s="74">
        <f t="shared" si="90"/>
        <v>790</v>
      </c>
      <c r="AT102" s="38"/>
      <c r="AU102" s="38"/>
      <c r="AV102" s="38">
        <f t="shared" si="91"/>
        <v>790</v>
      </c>
      <c r="AW102" s="38"/>
      <c r="AX102" s="38"/>
      <c r="AY102" s="38">
        <f t="shared" si="92"/>
        <v>790</v>
      </c>
      <c r="AZ102" s="38"/>
      <c r="BA102" s="38"/>
      <c r="BB102" s="38">
        <f t="shared" si="93"/>
        <v>790</v>
      </c>
      <c r="BC102" s="74"/>
      <c r="BD102" s="74"/>
      <c r="BE102" s="38">
        <f t="shared" si="54"/>
        <v>790</v>
      </c>
      <c r="BF102" s="38"/>
      <c r="BG102" s="38"/>
      <c r="BH102" s="38">
        <f t="shared" si="55"/>
        <v>790</v>
      </c>
      <c r="BI102" s="38"/>
      <c r="BJ102" s="38"/>
      <c r="BK102" s="38">
        <f t="shared" si="56"/>
        <v>790</v>
      </c>
      <c r="BL102" s="337"/>
      <c r="BM102" s="37"/>
      <c r="BN102" s="131"/>
      <c r="BO102" s="34"/>
      <c r="BP102" s="34"/>
      <c r="BQ102" s="34"/>
      <c r="BR102" s="34"/>
      <c r="BS102" s="34"/>
      <c r="BT102" s="34"/>
      <c r="BU102" s="34"/>
      <c r="BV102" s="34"/>
      <c r="BW102" s="95"/>
      <c r="BX102" s="95"/>
      <c r="BY102" s="95"/>
      <c r="BZ102" s="95"/>
      <c r="CA102" s="95"/>
      <c r="CB102" s="95"/>
      <c r="CC102" s="10" t="s">
        <v>460</v>
      </c>
      <c r="CD102" s="67">
        <v>790</v>
      </c>
      <c r="CE102" s="67">
        <v>790</v>
      </c>
      <c r="CF102" s="781">
        <f t="shared" si="53"/>
        <v>0</v>
      </c>
      <c r="CG102" s="133" t="s">
        <v>544</v>
      </c>
      <c r="CH102" s="133" t="s">
        <v>544</v>
      </c>
      <c r="CI102" s="133" t="s">
        <v>544</v>
      </c>
      <c r="CJ102" s="133"/>
      <c r="CK102" s="8"/>
      <c r="CL102" s="8"/>
      <c r="CM102" s="8"/>
      <c r="CN102" s="8"/>
      <c r="CO102" s="8"/>
      <c r="CP102" s="9"/>
      <c r="CQ102" s="9" t="s">
        <v>469</v>
      </c>
      <c r="CR102" s="9" t="s">
        <v>440</v>
      </c>
    </row>
    <row r="103" spans="1:96" s="19" customFormat="1" ht="90" customHeight="1" x14ac:dyDescent="0.3">
      <c r="A103" s="4" t="s">
        <v>907</v>
      </c>
      <c r="B103" s="47" t="s">
        <v>90</v>
      </c>
      <c r="C103" s="48" t="s">
        <v>232</v>
      </c>
      <c r="D103" s="48" t="s">
        <v>233</v>
      </c>
      <c r="E103" s="49" t="s">
        <v>212</v>
      </c>
      <c r="F103" s="51" t="s">
        <v>409</v>
      </c>
      <c r="G103" s="325" t="s">
        <v>405</v>
      </c>
      <c r="H103" s="48" t="s">
        <v>204</v>
      </c>
      <c r="I103" s="9" t="s">
        <v>901</v>
      </c>
      <c r="J103" s="9" t="s">
        <v>156</v>
      </c>
      <c r="K103" s="10">
        <v>2025</v>
      </c>
      <c r="L103" s="11" t="s">
        <v>56</v>
      </c>
      <c r="M103" s="11" t="s">
        <v>47</v>
      </c>
      <c r="N103" s="11" t="s">
        <v>47</v>
      </c>
      <c r="O103" s="12" t="s">
        <v>412</v>
      </c>
      <c r="P103" s="36"/>
      <c r="Q103" s="13"/>
      <c r="R103" s="14" t="s">
        <v>48</v>
      </c>
      <c r="S103" s="15" t="s">
        <v>49</v>
      </c>
      <c r="T103" s="15" t="s">
        <v>50</v>
      </c>
      <c r="U103" s="9" t="s">
        <v>51</v>
      </c>
      <c r="V103" s="9" t="s">
        <v>52</v>
      </c>
      <c r="W103" s="9" t="s">
        <v>53</v>
      </c>
      <c r="X103" s="9" t="s">
        <v>54</v>
      </c>
      <c r="Y103" s="16" t="s">
        <v>55</v>
      </c>
      <c r="Z103" s="21"/>
      <c r="AA103" s="55">
        <v>1</v>
      </c>
      <c r="AB103" s="55"/>
      <c r="AC103" s="55"/>
      <c r="AD103" s="18">
        <f t="shared" si="94"/>
        <v>1</v>
      </c>
      <c r="AE103" s="38">
        <v>1876</v>
      </c>
      <c r="AF103" s="38"/>
      <c r="AG103" s="38"/>
      <c r="AH103" s="38">
        <f t="shared" si="75"/>
        <v>1876</v>
      </c>
      <c r="AI103" s="38"/>
      <c r="AJ103" s="38"/>
      <c r="AK103" s="74">
        <v>1876</v>
      </c>
      <c r="AL103" s="359"/>
      <c r="AM103" s="74">
        <f t="shared" si="88"/>
        <v>1876</v>
      </c>
      <c r="AN103" s="38"/>
      <c r="AO103" s="38"/>
      <c r="AP103" s="74">
        <f t="shared" si="89"/>
        <v>1876</v>
      </c>
      <c r="AQ103" s="38"/>
      <c r="AR103" s="38"/>
      <c r="AS103" s="74">
        <f t="shared" si="90"/>
        <v>1876</v>
      </c>
      <c r="AT103" s="38"/>
      <c r="AU103" s="38"/>
      <c r="AV103" s="38">
        <f t="shared" si="91"/>
        <v>1876</v>
      </c>
      <c r="AW103" s="38"/>
      <c r="AX103" s="38"/>
      <c r="AY103" s="38">
        <f t="shared" si="92"/>
        <v>1876</v>
      </c>
      <c r="AZ103" s="38"/>
      <c r="BA103" s="38"/>
      <c r="BB103" s="38">
        <f t="shared" si="93"/>
        <v>1876</v>
      </c>
      <c r="BC103" s="74"/>
      <c r="BD103" s="74"/>
      <c r="BE103" s="38">
        <f t="shared" si="54"/>
        <v>1876</v>
      </c>
      <c r="BF103" s="38"/>
      <c r="BG103" s="38"/>
      <c r="BH103" s="38">
        <f t="shared" si="55"/>
        <v>1876</v>
      </c>
      <c r="BI103" s="38"/>
      <c r="BJ103" s="38"/>
      <c r="BK103" s="38">
        <f t="shared" si="56"/>
        <v>1876</v>
      </c>
      <c r="BL103" s="337"/>
      <c r="BM103" s="37"/>
      <c r="BN103" s="131"/>
      <c r="BO103" s="34"/>
      <c r="BP103" s="67"/>
      <c r="BQ103" s="67"/>
      <c r="BR103" s="34"/>
      <c r="BS103" s="34"/>
      <c r="BT103" s="34"/>
      <c r="BU103" s="34"/>
      <c r="BV103" s="34"/>
      <c r="BW103" s="95"/>
      <c r="BX103" s="96"/>
      <c r="BY103" s="96"/>
      <c r="BZ103" s="96"/>
      <c r="CA103" s="96"/>
      <c r="CB103" s="96"/>
      <c r="CC103" s="10" t="s">
        <v>429</v>
      </c>
      <c r="CD103" s="67">
        <v>1876</v>
      </c>
      <c r="CE103" s="67">
        <v>1876</v>
      </c>
      <c r="CF103" s="781">
        <f t="shared" si="53"/>
        <v>0</v>
      </c>
      <c r="CG103" s="133" t="s">
        <v>544</v>
      </c>
      <c r="CH103" s="133" t="s">
        <v>544</v>
      </c>
      <c r="CI103" s="133" t="s">
        <v>544</v>
      </c>
      <c r="CJ103" s="133"/>
      <c r="CK103" s="8"/>
      <c r="CL103" s="8"/>
      <c r="CM103" s="8"/>
      <c r="CN103" s="8"/>
      <c r="CO103" s="8"/>
      <c r="CP103" s="9"/>
      <c r="CQ103" s="9" t="s">
        <v>469</v>
      </c>
      <c r="CR103" s="9" t="s">
        <v>440</v>
      </c>
    </row>
    <row r="104" spans="1:96" s="19" customFormat="1" ht="90" customHeight="1" x14ac:dyDescent="0.3">
      <c r="A104" s="4" t="s">
        <v>907</v>
      </c>
      <c r="B104" s="47" t="s">
        <v>90</v>
      </c>
      <c r="C104" s="48" t="s">
        <v>232</v>
      </c>
      <c r="D104" s="48" t="s">
        <v>233</v>
      </c>
      <c r="E104" s="49" t="s">
        <v>171</v>
      </c>
      <c r="F104" s="51" t="s">
        <v>408</v>
      </c>
      <c r="G104" s="325" t="s">
        <v>405</v>
      </c>
      <c r="H104" s="48" t="s">
        <v>204</v>
      </c>
      <c r="I104" s="9" t="s">
        <v>901</v>
      </c>
      <c r="J104" s="9" t="s">
        <v>156</v>
      </c>
      <c r="K104" s="10">
        <v>2025</v>
      </c>
      <c r="L104" s="11" t="s">
        <v>56</v>
      </c>
      <c r="M104" s="11" t="s">
        <v>47</v>
      </c>
      <c r="N104" s="11" t="s">
        <v>47</v>
      </c>
      <c r="O104" s="12" t="s">
        <v>412</v>
      </c>
      <c r="P104" s="36"/>
      <c r="Q104" s="13"/>
      <c r="R104" s="14" t="s">
        <v>48</v>
      </c>
      <c r="S104" s="15" t="s">
        <v>49</v>
      </c>
      <c r="T104" s="15" t="s">
        <v>50</v>
      </c>
      <c r="U104" s="9" t="s">
        <v>51</v>
      </c>
      <c r="V104" s="9" t="s">
        <v>52</v>
      </c>
      <c r="W104" s="9" t="s">
        <v>53</v>
      </c>
      <c r="X104" s="9" t="s">
        <v>54</v>
      </c>
      <c r="Y104" s="16" t="s">
        <v>55</v>
      </c>
      <c r="Z104" s="21"/>
      <c r="AA104" s="55">
        <v>1</v>
      </c>
      <c r="AB104" s="55"/>
      <c r="AC104" s="55"/>
      <c r="AD104" s="18">
        <f t="shared" si="94"/>
        <v>1</v>
      </c>
      <c r="AE104" s="38">
        <v>2590</v>
      </c>
      <c r="AF104" s="38"/>
      <c r="AG104" s="38"/>
      <c r="AH104" s="38">
        <f t="shared" si="75"/>
        <v>2590</v>
      </c>
      <c r="AI104" s="38"/>
      <c r="AJ104" s="38"/>
      <c r="AK104" s="74">
        <v>2590</v>
      </c>
      <c r="AL104" s="359"/>
      <c r="AM104" s="74">
        <f t="shared" si="88"/>
        <v>2590</v>
      </c>
      <c r="AN104" s="38"/>
      <c r="AO104" s="38"/>
      <c r="AP104" s="74">
        <f t="shared" si="89"/>
        <v>2590</v>
      </c>
      <c r="AQ104" s="38"/>
      <c r="AR104" s="38"/>
      <c r="AS104" s="74">
        <f t="shared" si="90"/>
        <v>2590</v>
      </c>
      <c r="AT104" s="38"/>
      <c r="AU104" s="38"/>
      <c r="AV104" s="38">
        <f t="shared" si="91"/>
        <v>2590</v>
      </c>
      <c r="AW104" s="38"/>
      <c r="AX104" s="38"/>
      <c r="AY104" s="38">
        <f t="shared" si="92"/>
        <v>2590</v>
      </c>
      <c r="AZ104" s="38"/>
      <c r="BA104" s="38"/>
      <c r="BB104" s="38">
        <f t="shared" si="93"/>
        <v>2590</v>
      </c>
      <c r="BC104" s="74"/>
      <c r="BD104" s="74">
        <v>0</v>
      </c>
      <c r="BE104" s="38">
        <f t="shared" si="54"/>
        <v>2590</v>
      </c>
      <c r="BF104" s="38"/>
      <c r="BG104" s="38"/>
      <c r="BH104" s="38">
        <f t="shared" si="55"/>
        <v>2590</v>
      </c>
      <c r="BI104" s="38"/>
      <c r="BJ104" s="38"/>
      <c r="BK104" s="38">
        <f t="shared" si="56"/>
        <v>2590</v>
      </c>
      <c r="BL104" s="337"/>
      <c r="BM104" s="37"/>
      <c r="BN104" s="131"/>
      <c r="BO104" s="34"/>
      <c r="BP104" s="34"/>
      <c r="BQ104" s="34"/>
      <c r="BR104" s="34"/>
      <c r="BS104" s="34"/>
      <c r="BT104" s="34"/>
      <c r="BU104" s="34"/>
      <c r="BV104" s="34"/>
      <c r="BW104" s="95"/>
      <c r="BX104" s="95"/>
      <c r="BY104" s="95"/>
      <c r="BZ104" s="95"/>
      <c r="CA104" s="95"/>
      <c r="CB104" s="95"/>
      <c r="CC104" s="10" t="s">
        <v>429</v>
      </c>
      <c r="CD104" s="67">
        <v>2590</v>
      </c>
      <c r="CE104" s="67">
        <v>2590</v>
      </c>
      <c r="CF104" s="781">
        <f t="shared" si="53"/>
        <v>0</v>
      </c>
      <c r="CG104" s="133" t="s">
        <v>544</v>
      </c>
      <c r="CH104" s="133" t="s">
        <v>544</v>
      </c>
      <c r="CI104" s="133" t="s">
        <v>544</v>
      </c>
      <c r="CJ104" s="133"/>
      <c r="CK104" s="8"/>
      <c r="CL104" s="8"/>
      <c r="CM104" s="8"/>
      <c r="CN104" s="8"/>
      <c r="CO104" s="8"/>
      <c r="CP104" s="9"/>
      <c r="CQ104" s="9" t="s">
        <v>469</v>
      </c>
      <c r="CR104" s="9" t="s">
        <v>440</v>
      </c>
    </row>
    <row r="105" spans="1:96" s="19" customFormat="1" ht="120" customHeight="1" x14ac:dyDescent="0.3">
      <c r="A105" s="4" t="s">
        <v>907</v>
      </c>
      <c r="B105" s="47" t="s">
        <v>90</v>
      </c>
      <c r="C105" s="48" t="s">
        <v>232</v>
      </c>
      <c r="D105" s="48" t="s">
        <v>233</v>
      </c>
      <c r="E105" s="49" t="s">
        <v>434</v>
      </c>
      <c r="F105" s="51" t="s">
        <v>410</v>
      </c>
      <c r="G105" s="325" t="s">
        <v>406</v>
      </c>
      <c r="H105" s="48" t="s">
        <v>204</v>
      </c>
      <c r="I105" s="9" t="s">
        <v>901</v>
      </c>
      <c r="J105" s="9" t="s">
        <v>156</v>
      </c>
      <c r="K105" s="10">
        <v>2025</v>
      </c>
      <c r="L105" s="11" t="s">
        <v>56</v>
      </c>
      <c r="M105" s="11" t="s">
        <v>47</v>
      </c>
      <c r="N105" s="11" t="s">
        <v>47</v>
      </c>
      <c r="O105" s="12" t="s">
        <v>412</v>
      </c>
      <c r="P105" s="36"/>
      <c r="Q105" s="13"/>
      <c r="R105" s="14" t="s">
        <v>48</v>
      </c>
      <c r="S105" s="15" t="s">
        <v>49</v>
      </c>
      <c r="T105" s="15" t="s">
        <v>50</v>
      </c>
      <c r="U105" s="9" t="s">
        <v>51</v>
      </c>
      <c r="V105" s="9" t="s">
        <v>52</v>
      </c>
      <c r="W105" s="9" t="s">
        <v>53</v>
      </c>
      <c r="X105" s="9" t="s">
        <v>54</v>
      </c>
      <c r="Y105" s="16" t="s">
        <v>55</v>
      </c>
      <c r="Z105" s="21"/>
      <c r="AA105" s="55">
        <v>1</v>
      </c>
      <c r="AB105" s="55"/>
      <c r="AC105" s="55"/>
      <c r="AD105" s="18">
        <f t="shared" si="94"/>
        <v>1</v>
      </c>
      <c r="AE105" s="38">
        <v>17.39</v>
      </c>
      <c r="AF105" s="38"/>
      <c r="AG105" s="38"/>
      <c r="AH105" s="38">
        <f t="shared" si="75"/>
        <v>17.39</v>
      </c>
      <c r="AI105" s="38"/>
      <c r="AJ105" s="38"/>
      <c r="AK105" s="74">
        <v>17.39</v>
      </c>
      <c r="AL105" s="359"/>
      <c r="AM105" s="74">
        <f t="shared" si="88"/>
        <v>17.39</v>
      </c>
      <c r="AN105" s="38"/>
      <c r="AO105" s="38"/>
      <c r="AP105" s="74">
        <f t="shared" si="89"/>
        <v>17.39</v>
      </c>
      <c r="AQ105" s="38"/>
      <c r="AR105" s="38"/>
      <c r="AS105" s="74">
        <f t="shared" si="90"/>
        <v>17.39</v>
      </c>
      <c r="AT105" s="38"/>
      <c r="AU105" s="38"/>
      <c r="AV105" s="38">
        <f t="shared" si="91"/>
        <v>17.39</v>
      </c>
      <c r="AW105" s="38"/>
      <c r="AX105" s="38"/>
      <c r="AY105" s="38">
        <f t="shared" si="92"/>
        <v>17.39</v>
      </c>
      <c r="AZ105" s="38"/>
      <c r="BA105" s="38"/>
      <c r="BB105" s="38">
        <f t="shared" si="93"/>
        <v>17.39</v>
      </c>
      <c r="BC105" s="74"/>
      <c r="BD105" s="74"/>
      <c r="BE105" s="38">
        <f t="shared" si="54"/>
        <v>17.39</v>
      </c>
      <c r="BF105" s="38"/>
      <c r="BG105" s="38"/>
      <c r="BH105" s="38">
        <f t="shared" si="55"/>
        <v>17.39</v>
      </c>
      <c r="BI105" s="38"/>
      <c r="BJ105" s="38"/>
      <c r="BK105" s="38">
        <f t="shared" si="56"/>
        <v>17.39</v>
      </c>
      <c r="BL105" s="337"/>
      <c r="BM105" s="37"/>
      <c r="BN105" s="131"/>
      <c r="BO105" s="34"/>
      <c r="BP105" s="34"/>
      <c r="BQ105" s="34"/>
      <c r="BR105" s="34"/>
      <c r="BS105" s="34"/>
      <c r="BT105" s="34"/>
      <c r="BU105" s="34"/>
      <c r="BV105" s="34"/>
      <c r="BW105" s="95"/>
      <c r="BX105" s="95"/>
      <c r="BY105" s="95"/>
      <c r="BZ105" s="95"/>
      <c r="CA105" s="95"/>
      <c r="CB105" s="95"/>
      <c r="CC105" s="10" t="s">
        <v>451</v>
      </c>
      <c r="CD105" s="38">
        <v>17.39</v>
      </c>
      <c r="CE105" s="38">
        <v>17.39</v>
      </c>
      <c r="CF105" s="781">
        <f t="shared" si="53"/>
        <v>0</v>
      </c>
      <c r="CG105" s="133" t="s">
        <v>544</v>
      </c>
      <c r="CH105" s="133" t="s">
        <v>544</v>
      </c>
      <c r="CI105" s="133" t="s">
        <v>544</v>
      </c>
      <c r="CJ105" s="133"/>
      <c r="CK105" s="8"/>
      <c r="CL105" s="8"/>
      <c r="CM105" s="8"/>
      <c r="CN105" s="8"/>
      <c r="CO105" s="8"/>
      <c r="CP105" s="9"/>
      <c r="CQ105" s="9" t="s">
        <v>469</v>
      </c>
      <c r="CR105" s="9" t="s">
        <v>440</v>
      </c>
    </row>
    <row r="106" spans="1:96" s="19" customFormat="1" ht="135" customHeight="1" x14ac:dyDescent="0.3">
      <c r="A106" s="4" t="s">
        <v>907</v>
      </c>
      <c r="B106" s="47" t="s">
        <v>90</v>
      </c>
      <c r="C106" s="48" t="s">
        <v>232</v>
      </c>
      <c r="D106" s="48" t="s">
        <v>233</v>
      </c>
      <c r="E106" s="49" t="s">
        <v>304</v>
      </c>
      <c r="F106" s="51" t="s">
        <v>411</v>
      </c>
      <c r="G106" s="325" t="s">
        <v>406</v>
      </c>
      <c r="H106" s="48" t="s">
        <v>204</v>
      </c>
      <c r="I106" s="9" t="s">
        <v>901</v>
      </c>
      <c r="J106" s="9" t="s">
        <v>156</v>
      </c>
      <c r="K106" s="10">
        <v>2025</v>
      </c>
      <c r="L106" s="11" t="s">
        <v>56</v>
      </c>
      <c r="M106" s="11" t="s">
        <v>47</v>
      </c>
      <c r="N106" s="11" t="s">
        <v>47</v>
      </c>
      <c r="O106" s="12" t="s">
        <v>412</v>
      </c>
      <c r="P106" s="36"/>
      <c r="Q106" s="13"/>
      <c r="R106" s="14" t="s">
        <v>48</v>
      </c>
      <c r="S106" s="15" t="s">
        <v>49</v>
      </c>
      <c r="T106" s="15" t="s">
        <v>50</v>
      </c>
      <c r="U106" s="9" t="s">
        <v>51</v>
      </c>
      <c r="V106" s="9" t="s">
        <v>52</v>
      </c>
      <c r="W106" s="9" t="s">
        <v>53</v>
      </c>
      <c r="X106" s="9" t="s">
        <v>54</v>
      </c>
      <c r="Y106" s="16" t="s">
        <v>55</v>
      </c>
      <c r="Z106" s="21"/>
      <c r="AA106" s="55">
        <v>1</v>
      </c>
      <c r="AB106" s="55"/>
      <c r="AC106" s="55"/>
      <c r="AD106" s="18">
        <f t="shared" si="94"/>
        <v>1</v>
      </c>
      <c r="AE106" s="38">
        <v>285.06</v>
      </c>
      <c r="AF106" s="38"/>
      <c r="AG106" s="38"/>
      <c r="AH106" s="38">
        <f t="shared" si="75"/>
        <v>285.06</v>
      </c>
      <c r="AI106" s="38"/>
      <c r="AJ106" s="38"/>
      <c r="AK106" s="74">
        <v>285.06</v>
      </c>
      <c r="AL106" s="359"/>
      <c r="AM106" s="74">
        <f t="shared" si="88"/>
        <v>285.06</v>
      </c>
      <c r="AN106" s="38"/>
      <c r="AO106" s="38"/>
      <c r="AP106" s="74">
        <f t="shared" si="89"/>
        <v>285.06</v>
      </c>
      <c r="AQ106" s="38"/>
      <c r="AR106" s="38"/>
      <c r="AS106" s="74">
        <f t="shared" si="90"/>
        <v>285.06</v>
      </c>
      <c r="AT106" s="38"/>
      <c r="AU106" s="38"/>
      <c r="AV106" s="38">
        <f t="shared" si="91"/>
        <v>285.06</v>
      </c>
      <c r="AW106" s="38"/>
      <c r="AX106" s="38"/>
      <c r="AY106" s="38">
        <f t="shared" si="92"/>
        <v>285.06</v>
      </c>
      <c r="AZ106" s="38"/>
      <c r="BA106" s="38"/>
      <c r="BB106" s="38">
        <f t="shared" si="93"/>
        <v>285.06</v>
      </c>
      <c r="BC106" s="74"/>
      <c r="BD106" s="74"/>
      <c r="BE106" s="38">
        <f t="shared" si="54"/>
        <v>285.06</v>
      </c>
      <c r="BF106" s="38"/>
      <c r="BG106" s="38"/>
      <c r="BH106" s="38">
        <f t="shared" si="55"/>
        <v>285.06</v>
      </c>
      <c r="BI106" s="38"/>
      <c r="BJ106" s="38"/>
      <c r="BK106" s="38">
        <f t="shared" si="56"/>
        <v>285.06</v>
      </c>
      <c r="BL106" s="337"/>
      <c r="BM106" s="37"/>
      <c r="BN106" s="131"/>
      <c r="BO106" s="34"/>
      <c r="BP106" s="34"/>
      <c r="BQ106" s="34"/>
      <c r="BR106" s="34"/>
      <c r="BS106" s="34"/>
      <c r="BT106" s="34"/>
      <c r="BU106" s="34"/>
      <c r="BV106" s="34"/>
      <c r="BW106" s="95"/>
      <c r="BX106" s="95"/>
      <c r="BY106" s="95"/>
      <c r="BZ106" s="95"/>
      <c r="CA106" s="95"/>
      <c r="CB106" s="95"/>
      <c r="CC106" s="10" t="s">
        <v>451</v>
      </c>
      <c r="CD106" s="38">
        <v>285.06</v>
      </c>
      <c r="CE106" s="38">
        <v>285.06</v>
      </c>
      <c r="CF106" s="781">
        <f t="shared" si="53"/>
        <v>0</v>
      </c>
      <c r="CG106" s="133" t="s">
        <v>544</v>
      </c>
      <c r="CH106" s="133" t="s">
        <v>544</v>
      </c>
      <c r="CI106" s="133" t="s">
        <v>544</v>
      </c>
      <c r="CJ106" s="133"/>
      <c r="CK106" s="8"/>
      <c r="CL106" s="8"/>
      <c r="CM106" s="8"/>
      <c r="CN106" s="8"/>
      <c r="CO106" s="8"/>
      <c r="CP106" s="9"/>
      <c r="CQ106" s="9" t="s">
        <v>469</v>
      </c>
      <c r="CR106" s="9" t="s">
        <v>440</v>
      </c>
    </row>
    <row r="107" spans="1:96" s="19" customFormat="1" ht="135" customHeight="1" x14ac:dyDescent="0.3">
      <c r="A107" s="4" t="s">
        <v>907</v>
      </c>
      <c r="B107" s="47" t="s">
        <v>90</v>
      </c>
      <c r="C107" s="48" t="s">
        <v>232</v>
      </c>
      <c r="D107" s="48" t="s">
        <v>233</v>
      </c>
      <c r="E107" s="49" t="s">
        <v>171</v>
      </c>
      <c r="F107" s="51" t="s">
        <v>408</v>
      </c>
      <c r="G107" s="325" t="s">
        <v>407</v>
      </c>
      <c r="H107" s="48" t="s">
        <v>204</v>
      </c>
      <c r="I107" s="9" t="s">
        <v>901</v>
      </c>
      <c r="J107" s="9" t="s">
        <v>156</v>
      </c>
      <c r="K107" s="10">
        <v>2025</v>
      </c>
      <c r="L107" s="11" t="s">
        <v>56</v>
      </c>
      <c r="M107" s="11" t="s">
        <v>47</v>
      </c>
      <c r="N107" s="11" t="s">
        <v>47</v>
      </c>
      <c r="O107" s="12" t="s">
        <v>412</v>
      </c>
      <c r="P107" s="36"/>
      <c r="Q107" s="13"/>
      <c r="R107" s="14" t="s">
        <v>48</v>
      </c>
      <c r="S107" s="15" t="s">
        <v>49</v>
      </c>
      <c r="T107" s="15" t="s">
        <v>50</v>
      </c>
      <c r="U107" s="9" t="s">
        <v>51</v>
      </c>
      <c r="V107" s="9" t="s">
        <v>52</v>
      </c>
      <c r="W107" s="9" t="s">
        <v>53</v>
      </c>
      <c r="X107" s="9" t="s">
        <v>54</v>
      </c>
      <c r="Y107" s="16" t="s">
        <v>55</v>
      </c>
      <c r="Z107" s="21"/>
      <c r="AA107" s="55">
        <v>1</v>
      </c>
      <c r="AB107" s="55"/>
      <c r="AC107" s="55"/>
      <c r="AD107" s="18">
        <f t="shared" si="94"/>
        <v>1</v>
      </c>
      <c r="AE107" s="38">
        <v>5552</v>
      </c>
      <c r="AF107" s="38"/>
      <c r="AG107" s="38"/>
      <c r="AH107" s="38">
        <f t="shared" si="75"/>
        <v>5552</v>
      </c>
      <c r="AI107" s="38"/>
      <c r="AJ107" s="38"/>
      <c r="AK107" s="74">
        <v>5552</v>
      </c>
      <c r="AL107" s="359"/>
      <c r="AM107" s="74">
        <f t="shared" si="88"/>
        <v>5552</v>
      </c>
      <c r="AN107" s="38"/>
      <c r="AO107" s="38"/>
      <c r="AP107" s="74">
        <f t="shared" si="89"/>
        <v>5552</v>
      </c>
      <c r="AQ107" s="38"/>
      <c r="AR107" s="38"/>
      <c r="AS107" s="74">
        <f t="shared" si="90"/>
        <v>5552</v>
      </c>
      <c r="AT107" s="38"/>
      <c r="AU107" s="38"/>
      <c r="AV107" s="38">
        <f t="shared" si="91"/>
        <v>5552</v>
      </c>
      <c r="AW107" s="38"/>
      <c r="AX107" s="38"/>
      <c r="AY107" s="38">
        <f t="shared" si="92"/>
        <v>5552</v>
      </c>
      <c r="AZ107" s="38"/>
      <c r="BA107" s="38"/>
      <c r="BB107" s="38">
        <f t="shared" si="93"/>
        <v>5552</v>
      </c>
      <c r="BC107" s="74"/>
      <c r="BD107" s="74"/>
      <c r="BE107" s="38">
        <f t="shared" si="54"/>
        <v>5552</v>
      </c>
      <c r="BF107" s="38"/>
      <c r="BG107" s="38"/>
      <c r="BH107" s="38">
        <f t="shared" si="55"/>
        <v>5552</v>
      </c>
      <c r="BI107" s="38"/>
      <c r="BJ107" s="38"/>
      <c r="BK107" s="38">
        <f t="shared" si="56"/>
        <v>5552</v>
      </c>
      <c r="BL107" s="337"/>
      <c r="BM107" s="37"/>
      <c r="BN107" s="131"/>
      <c r="BO107" s="34"/>
      <c r="BP107" s="34"/>
      <c r="BQ107" s="34"/>
      <c r="BR107" s="34"/>
      <c r="BS107" s="34"/>
      <c r="BT107" s="34"/>
      <c r="BU107" s="34"/>
      <c r="BV107" s="34"/>
      <c r="BW107" s="95"/>
      <c r="BX107" s="95"/>
      <c r="BY107" s="95"/>
      <c r="BZ107" s="95"/>
      <c r="CA107" s="95"/>
      <c r="CB107" s="95"/>
      <c r="CC107" s="10" t="s">
        <v>432</v>
      </c>
      <c r="CD107" s="67">
        <v>5552</v>
      </c>
      <c r="CE107" s="67">
        <v>5552</v>
      </c>
      <c r="CF107" s="781">
        <f t="shared" si="53"/>
        <v>0</v>
      </c>
      <c r="CG107" s="133" t="s">
        <v>544</v>
      </c>
      <c r="CH107" s="133" t="s">
        <v>544</v>
      </c>
      <c r="CI107" s="133" t="s">
        <v>544</v>
      </c>
      <c r="CJ107" s="133"/>
      <c r="CK107" s="8"/>
      <c r="CL107" s="8"/>
      <c r="CM107" s="8"/>
      <c r="CN107" s="8"/>
      <c r="CO107" s="8"/>
      <c r="CP107" s="9"/>
      <c r="CQ107" s="9" t="s">
        <v>469</v>
      </c>
      <c r="CR107" s="9" t="s">
        <v>440</v>
      </c>
    </row>
    <row r="108" spans="1:96" s="30" customFormat="1" ht="171.6" customHeight="1" x14ac:dyDescent="0.3">
      <c r="A108" s="4" t="s">
        <v>907</v>
      </c>
      <c r="B108" s="5" t="s">
        <v>90</v>
      </c>
      <c r="C108" s="5" t="s">
        <v>91</v>
      </c>
      <c r="D108" s="5" t="s">
        <v>92</v>
      </c>
      <c r="E108" s="22" t="s">
        <v>567</v>
      </c>
      <c r="F108" s="6" t="s">
        <v>565</v>
      </c>
      <c r="G108" s="326" t="s">
        <v>566</v>
      </c>
      <c r="H108" s="14" t="s">
        <v>563</v>
      </c>
      <c r="I108" s="14" t="s">
        <v>902</v>
      </c>
      <c r="J108" s="9" t="s">
        <v>156</v>
      </c>
      <c r="K108" s="10">
        <v>2025</v>
      </c>
      <c r="L108" s="11" t="s">
        <v>56</v>
      </c>
      <c r="M108" s="11" t="s">
        <v>47</v>
      </c>
      <c r="N108" s="11" t="s">
        <v>47</v>
      </c>
      <c r="O108" s="12" t="s">
        <v>412</v>
      </c>
      <c r="P108" s="4" t="s">
        <v>917</v>
      </c>
      <c r="Q108" s="27"/>
      <c r="R108" s="14" t="s">
        <v>48</v>
      </c>
      <c r="S108" s="15" t="s">
        <v>49</v>
      </c>
      <c r="T108" s="15" t="s">
        <v>50</v>
      </c>
      <c r="U108" s="9" t="s">
        <v>51</v>
      </c>
      <c r="V108" s="9" t="s">
        <v>52</v>
      </c>
      <c r="W108" s="9" t="s">
        <v>53</v>
      </c>
      <c r="X108" s="9" t="s">
        <v>54</v>
      </c>
      <c r="Y108" s="16" t="s">
        <v>55</v>
      </c>
      <c r="Z108" s="31"/>
      <c r="AA108" s="55"/>
      <c r="AB108" s="55"/>
      <c r="AC108" s="54">
        <v>1</v>
      </c>
      <c r="AD108" s="18">
        <f t="shared" ref="AD108:AD116" si="95">+AA108+AB108+AC108</f>
        <v>1</v>
      </c>
      <c r="AE108" s="38"/>
      <c r="AF108" s="38"/>
      <c r="AG108" s="38">
        <v>1800</v>
      </c>
      <c r="AH108" s="38">
        <f t="shared" si="75"/>
        <v>1800</v>
      </c>
      <c r="AI108" s="38"/>
      <c r="AJ108" s="38"/>
      <c r="AK108" s="359"/>
      <c r="AL108" s="359"/>
      <c r="AM108" s="74"/>
      <c r="AN108" s="38"/>
      <c r="AO108" s="38"/>
      <c r="AP108" s="74"/>
      <c r="AQ108" s="38"/>
      <c r="AR108" s="38"/>
      <c r="AS108" s="74"/>
      <c r="AT108" s="38"/>
      <c r="AU108" s="38"/>
      <c r="AV108" s="38"/>
      <c r="AW108" s="38"/>
      <c r="AX108" s="38"/>
      <c r="AY108" s="38"/>
      <c r="AZ108" s="38"/>
      <c r="BA108" s="38"/>
      <c r="BB108" s="38">
        <f>+AY108+AZ108-BA108</f>
        <v>0</v>
      </c>
      <c r="BC108" s="74">
        <v>1800</v>
      </c>
      <c r="BD108" s="74"/>
      <c r="BE108" s="38">
        <f t="shared" si="54"/>
        <v>1800</v>
      </c>
      <c r="BF108" s="38"/>
      <c r="BG108" s="38"/>
      <c r="BH108" s="38">
        <f t="shared" si="55"/>
        <v>1800</v>
      </c>
      <c r="BI108" s="38"/>
      <c r="BJ108" s="38"/>
      <c r="BK108" s="38">
        <f t="shared" si="56"/>
        <v>1800</v>
      </c>
      <c r="BL108" s="365" t="s">
        <v>56</v>
      </c>
      <c r="BM108" s="334"/>
      <c r="BN108" s="334"/>
      <c r="BO108" s="32" t="s">
        <v>1048</v>
      </c>
      <c r="BP108" s="72">
        <v>1776.38</v>
      </c>
      <c r="BQ108" s="72"/>
      <c r="BR108" s="32"/>
      <c r="BS108" s="32"/>
      <c r="BT108" s="32"/>
      <c r="BU108" s="32"/>
      <c r="BV108" s="32"/>
      <c r="BW108" s="34" t="s">
        <v>1047</v>
      </c>
      <c r="BX108" s="72">
        <v>1776.38</v>
      </c>
      <c r="BY108" s="98"/>
      <c r="BZ108" s="98"/>
      <c r="CA108" s="98"/>
      <c r="CB108" s="98"/>
      <c r="CC108" s="32" t="s">
        <v>1099</v>
      </c>
      <c r="CD108" s="72">
        <f>1113.15+200</f>
        <v>1313.15</v>
      </c>
      <c r="CE108" s="72">
        <v>200</v>
      </c>
      <c r="CF108" s="781">
        <f t="shared" si="53"/>
        <v>-1113.1500000000001</v>
      </c>
      <c r="CG108" s="421" t="s">
        <v>968</v>
      </c>
      <c r="CH108" s="413">
        <v>0.3</v>
      </c>
      <c r="CI108" s="410">
        <v>45952</v>
      </c>
      <c r="CJ108" s="410"/>
      <c r="CK108" s="10"/>
      <c r="CL108" s="10"/>
      <c r="CM108" s="415"/>
      <c r="CN108" s="9"/>
      <c r="CO108" s="9"/>
      <c r="CP108" s="9"/>
      <c r="CQ108" s="9"/>
      <c r="CR108" s="9"/>
    </row>
    <row r="109" spans="1:96" s="30" customFormat="1" ht="177" customHeight="1" x14ac:dyDescent="0.3">
      <c r="A109" s="4" t="s">
        <v>907</v>
      </c>
      <c r="B109" s="5" t="s">
        <v>90</v>
      </c>
      <c r="C109" s="5" t="s">
        <v>91</v>
      </c>
      <c r="D109" s="5" t="s">
        <v>92</v>
      </c>
      <c r="E109" s="22" t="s">
        <v>434</v>
      </c>
      <c r="F109" s="6" t="s">
        <v>410</v>
      </c>
      <c r="G109" s="326" t="s">
        <v>564</v>
      </c>
      <c r="H109" s="14" t="s">
        <v>563</v>
      </c>
      <c r="I109" s="14" t="s">
        <v>902</v>
      </c>
      <c r="J109" s="9" t="s">
        <v>156</v>
      </c>
      <c r="K109" s="10">
        <v>2025</v>
      </c>
      <c r="L109" s="11" t="s">
        <v>56</v>
      </c>
      <c r="M109" s="11" t="s">
        <v>47</v>
      </c>
      <c r="N109" s="11" t="s">
        <v>47</v>
      </c>
      <c r="O109" s="12" t="s">
        <v>412</v>
      </c>
      <c r="P109" s="4" t="s">
        <v>918</v>
      </c>
      <c r="Q109" s="27"/>
      <c r="R109" s="14" t="s">
        <v>48</v>
      </c>
      <c r="S109" s="15" t="s">
        <v>49</v>
      </c>
      <c r="T109" s="15" t="s">
        <v>50</v>
      </c>
      <c r="U109" s="9" t="s">
        <v>51</v>
      </c>
      <c r="V109" s="9" t="s">
        <v>52</v>
      </c>
      <c r="W109" s="9" t="s">
        <v>53</v>
      </c>
      <c r="X109" s="9" t="s">
        <v>54</v>
      </c>
      <c r="Y109" s="16" t="s">
        <v>55</v>
      </c>
      <c r="Z109" s="31"/>
      <c r="AA109" s="55"/>
      <c r="AB109" s="55"/>
      <c r="AC109" s="54">
        <v>1</v>
      </c>
      <c r="AD109" s="18">
        <f t="shared" si="95"/>
        <v>1</v>
      </c>
      <c r="AE109" s="38"/>
      <c r="AF109" s="38"/>
      <c r="AG109" s="38">
        <v>1530</v>
      </c>
      <c r="AH109" s="38">
        <f t="shared" si="75"/>
        <v>1530</v>
      </c>
      <c r="AI109" s="38"/>
      <c r="AJ109" s="38"/>
      <c r="AK109" s="359"/>
      <c r="AL109" s="359"/>
      <c r="AM109" s="74"/>
      <c r="AN109" s="38"/>
      <c r="AO109" s="38"/>
      <c r="AP109" s="74"/>
      <c r="AQ109" s="38"/>
      <c r="AR109" s="38"/>
      <c r="AS109" s="74"/>
      <c r="AT109" s="38"/>
      <c r="AU109" s="38"/>
      <c r="AV109" s="38"/>
      <c r="AW109" s="38"/>
      <c r="AX109" s="38"/>
      <c r="AY109" s="38"/>
      <c r="AZ109" s="38"/>
      <c r="BA109" s="38"/>
      <c r="BB109" s="38">
        <f>+AY109+AZ109-BA109</f>
        <v>0</v>
      </c>
      <c r="BC109" s="74">
        <v>1530</v>
      </c>
      <c r="BD109" s="74"/>
      <c r="BE109" s="38">
        <f>+BB109+BC109-BD109</f>
        <v>1530</v>
      </c>
      <c r="BF109" s="38"/>
      <c r="BG109" s="38"/>
      <c r="BH109" s="38">
        <f t="shared" si="55"/>
        <v>1530</v>
      </c>
      <c r="BI109" s="38"/>
      <c r="BJ109" s="38"/>
      <c r="BK109" s="38">
        <f t="shared" si="56"/>
        <v>1530</v>
      </c>
      <c r="BL109" s="365" t="s">
        <v>56</v>
      </c>
      <c r="BM109" s="334"/>
      <c r="BN109" s="334"/>
      <c r="BO109" s="32" t="s">
        <v>1049</v>
      </c>
      <c r="BP109" s="114">
        <v>1528.97</v>
      </c>
      <c r="BQ109" s="114"/>
      <c r="BR109" s="32"/>
      <c r="BS109" s="32"/>
      <c r="BT109" s="32"/>
      <c r="BU109" s="32"/>
      <c r="BV109" s="32"/>
      <c r="BW109" s="34" t="s">
        <v>1050</v>
      </c>
      <c r="BX109" s="114">
        <v>1528.97</v>
      </c>
      <c r="BY109" s="98"/>
      <c r="BZ109" s="98"/>
      <c r="CA109" s="98"/>
      <c r="CB109" s="98"/>
      <c r="CC109" s="9" t="s">
        <v>1122</v>
      </c>
      <c r="CD109" s="72">
        <f>430.95+170+209.5</f>
        <v>810.45</v>
      </c>
      <c r="CE109" s="72">
        <v>437.4</v>
      </c>
      <c r="CF109" s="781">
        <f t="shared" si="53"/>
        <v>-373.05000000000007</v>
      </c>
      <c r="CG109" s="421" t="s">
        <v>968</v>
      </c>
      <c r="CH109" s="413">
        <v>0.3</v>
      </c>
      <c r="CI109" s="410">
        <v>45952</v>
      </c>
      <c r="CJ109" s="410"/>
      <c r="CK109" s="10"/>
      <c r="CL109" s="10"/>
      <c r="CM109" s="415"/>
      <c r="CN109" s="9"/>
      <c r="CO109" s="9"/>
      <c r="CP109" s="9"/>
      <c r="CQ109" s="9"/>
      <c r="CR109" s="9"/>
    </row>
    <row r="110" spans="1:96" s="19" customFormat="1" ht="113.4" customHeight="1" x14ac:dyDescent="0.3">
      <c r="A110" s="4" t="s">
        <v>907</v>
      </c>
      <c r="B110" s="47" t="s">
        <v>90</v>
      </c>
      <c r="C110" s="48" t="s">
        <v>232</v>
      </c>
      <c r="D110" s="48" t="s">
        <v>233</v>
      </c>
      <c r="E110" s="49" t="s">
        <v>434</v>
      </c>
      <c r="F110" s="51" t="s">
        <v>410</v>
      </c>
      <c r="G110" s="325" t="s">
        <v>419</v>
      </c>
      <c r="H110" s="88" t="s">
        <v>167</v>
      </c>
      <c r="I110" s="14" t="s">
        <v>902</v>
      </c>
      <c r="J110" s="9" t="s">
        <v>156</v>
      </c>
      <c r="K110" s="10">
        <v>2025</v>
      </c>
      <c r="L110" s="11" t="s">
        <v>56</v>
      </c>
      <c r="M110" s="11" t="s">
        <v>47</v>
      </c>
      <c r="N110" s="11" t="s">
        <v>47</v>
      </c>
      <c r="O110" s="12" t="s">
        <v>412</v>
      </c>
      <c r="P110" s="4" t="s">
        <v>919</v>
      </c>
      <c r="Q110" s="13"/>
      <c r="R110" s="14" t="s">
        <v>48</v>
      </c>
      <c r="S110" s="15" t="s">
        <v>49</v>
      </c>
      <c r="T110" s="15" t="s">
        <v>50</v>
      </c>
      <c r="U110" s="9" t="s">
        <v>51</v>
      </c>
      <c r="V110" s="9" t="s">
        <v>52</v>
      </c>
      <c r="W110" s="9" t="s">
        <v>53</v>
      </c>
      <c r="X110" s="9" t="s">
        <v>54</v>
      </c>
      <c r="Y110" s="16" t="s">
        <v>55</v>
      </c>
      <c r="Z110" s="21"/>
      <c r="AA110" s="55">
        <v>1</v>
      </c>
      <c r="AB110" s="55"/>
      <c r="AC110" s="55"/>
      <c r="AD110" s="18">
        <f t="shared" si="95"/>
        <v>1</v>
      </c>
      <c r="AE110" s="38">
        <v>192.64</v>
      </c>
      <c r="AF110" s="38"/>
      <c r="AG110" s="38"/>
      <c r="AH110" s="38">
        <f t="shared" si="75"/>
        <v>192.64</v>
      </c>
      <c r="AI110" s="38"/>
      <c r="AJ110" s="38"/>
      <c r="AK110" s="74">
        <v>192.64</v>
      </c>
      <c r="AL110" s="359"/>
      <c r="AM110" s="74">
        <f t="shared" si="88"/>
        <v>192.64</v>
      </c>
      <c r="AN110" s="38"/>
      <c r="AO110" s="38"/>
      <c r="AP110" s="74">
        <f t="shared" si="89"/>
        <v>192.64</v>
      </c>
      <c r="AQ110" s="38"/>
      <c r="AR110" s="38"/>
      <c r="AS110" s="74">
        <f t="shared" si="90"/>
        <v>192.64</v>
      </c>
      <c r="AT110" s="38"/>
      <c r="AU110" s="38"/>
      <c r="AV110" s="38">
        <f t="shared" si="91"/>
        <v>192.64</v>
      </c>
      <c r="AW110" s="38"/>
      <c r="AX110" s="38"/>
      <c r="AY110" s="38">
        <f t="shared" si="92"/>
        <v>192.64</v>
      </c>
      <c r="AZ110" s="38"/>
      <c r="BA110" s="38"/>
      <c r="BB110" s="38">
        <f t="shared" si="93"/>
        <v>192.64</v>
      </c>
      <c r="BC110" s="74"/>
      <c r="BD110" s="74"/>
      <c r="BE110" s="38">
        <f t="shared" si="54"/>
        <v>192.64</v>
      </c>
      <c r="BF110" s="38"/>
      <c r="BG110" s="38"/>
      <c r="BH110" s="38">
        <f t="shared" si="55"/>
        <v>192.64</v>
      </c>
      <c r="BI110" s="38"/>
      <c r="BJ110" s="38"/>
      <c r="BK110" s="38">
        <f t="shared" si="56"/>
        <v>192.64</v>
      </c>
      <c r="BL110" s="337"/>
      <c r="BM110" s="37"/>
      <c r="BN110" s="131"/>
      <c r="BO110" s="34"/>
      <c r="BP110" s="34"/>
      <c r="BQ110" s="34"/>
      <c r="BR110" s="34"/>
      <c r="BS110" s="34"/>
      <c r="BT110" s="34"/>
      <c r="BU110" s="34"/>
      <c r="BV110" s="34"/>
      <c r="BW110" s="95"/>
      <c r="BX110" s="95"/>
      <c r="BY110" s="95"/>
      <c r="BZ110" s="95"/>
      <c r="CA110" s="95"/>
      <c r="CB110" s="95"/>
      <c r="CC110" s="10" t="s">
        <v>433</v>
      </c>
      <c r="CD110" s="67">
        <v>192.64</v>
      </c>
      <c r="CE110" s="67">
        <v>192.64</v>
      </c>
      <c r="CF110" s="781">
        <f t="shared" si="53"/>
        <v>0</v>
      </c>
      <c r="CG110" s="133" t="s">
        <v>544</v>
      </c>
      <c r="CH110" s="133" t="s">
        <v>544</v>
      </c>
      <c r="CI110" s="133" t="s">
        <v>544</v>
      </c>
      <c r="CJ110" s="133"/>
      <c r="CK110" s="8"/>
      <c r="CL110" s="8"/>
      <c r="CM110" s="8"/>
      <c r="CN110" s="8"/>
      <c r="CO110" s="8"/>
      <c r="CP110" s="9"/>
      <c r="CQ110" s="9" t="s">
        <v>469</v>
      </c>
      <c r="CR110" s="9" t="s">
        <v>440</v>
      </c>
    </row>
    <row r="111" spans="1:96" s="19" customFormat="1" ht="171" customHeight="1" x14ac:dyDescent="0.3">
      <c r="A111" s="4" t="s">
        <v>907</v>
      </c>
      <c r="B111" s="47" t="s">
        <v>90</v>
      </c>
      <c r="C111" s="78" t="s">
        <v>232</v>
      </c>
      <c r="D111" s="78" t="s">
        <v>233</v>
      </c>
      <c r="E111" s="49" t="s">
        <v>265</v>
      </c>
      <c r="F111" s="50" t="s">
        <v>413</v>
      </c>
      <c r="G111" s="325" t="s">
        <v>414</v>
      </c>
      <c r="H111" s="88" t="s">
        <v>167</v>
      </c>
      <c r="I111" s="14" t="s">
        <v>902</v>
      </c>
      <c r="J111" s="8" t="s">
        <v>156</v>
      </c>
      <c r="K111" s="10">
        <v>2026</v>
      </c>
      <c r="L111" s="11" t="s">
        <v>46</v>
      </c>
      <c r="M111" s="11" t="s">
        <v>47</v>
      </c>
      <c r="N111" s="11" t="s">
        <v>47</v>
      </c>
      <c r="O111" s="12" t="s">
        <v>283</v>
      </c>
      <c r="P111" s="4" t="s">
        <v>920</v>
      </c>
      <c r="Q111" s="13"/>
      <c r="R111" s="14" t="s">
        <v>48</v>
      </c>
      <c r="S111" s="15" t="s">
        <v>49</v>
      </c>
      <c r="T111" s="15" t="s">
        <v>50</v>
      </c>
      <c r="U111" s="9" t="s">
        <v>51</v>
      </c>
      <c r="V111" s="9" t="s">
        <v>52</v>
      </c>
      <c r="W111" s="9" t="s">
        <v>53</v>
      </c>
      <c r="X111" s="9" t="s">
        <v>54</v>
      </c>
      <c r="Y111" s="16" t="s">
        <v>55</v>
      </c>
      <c r="Z111" s="21">
        <v>0</v>
      </c>
      <c r="AA111" s="55">
        <v>1</v>
      </c>
      <c r="AB111" s="55"/>
      <c r="AC111" s="55"/>
      <c r="AD111" s="18">
        <f t="shared" si="95"/>
        <v>1</v>
      </c>
      <c r="AE111" s="38">
        <v>1165.08</v>
      </c>
      <c r="AF111" s="38"/>
      <c r="AG111" s="38"/>
      <c r="AH111" s="38">
        <f t="shared" si="75"/>
        <v>1165.08</v>
      </c>
      <c r="AI111" s="38"/>
      <c r="AJ111" s="38"/>
      <c r="AK111" s="74">
        <v>1165.08</v>
      </c>
      <c r="AL111" s="359"/>
      <c r="AM111" s="74">
        <f t="shared" ref="AM111:AM116" si="96">+Z111+AI111-AJ111+AK111-AL111</f>
        <v>1165.08</v>
      </c>
      <c r="AN111" s="38"/>
      <c r="AO111" s="38"/>
      <c r="AP111" s="74">
        <f t="shared" ref="AP111:AP116" si="97">+AM111+AN111-AO111</f>
        <v>1165.08</v>
      </c>
      <c r="AQ111" s="38"/>
      <c r="AR111" s="38"/>
      <c r="AS111" s="74">
        <f t="shared" si="90"/>
        <v>1165.08</v>
      </c>
      <c r="AT111" s="38"/>
      <c r="AU111" s="38"/>
      <c r="AV111" s="38">
        <f t="shared" si="91"/>
        <v>1165.08</v>
      </c>
      <c r="AW111" s="38"/>
      <c r="AX111" s="38"/>
      <c r="AY111" s="38">
        <f t="shared" si="92"/>
        <v>1165.08</v>
      </c>
      <c r="AZ111" s="38"/>
      <c r="BA111" s="38"/>
      <c r="BB111" s="38">
        <f t="shared" si="93"/>
        <v>1165.08</v>
      </c>
      <c r="BC111" s="74"/>
      <c r="BD111" s="74"/>
      <c r="BE111" s="38">
        <f t="shared" si="54"/>
        <v>1165.08</v>
      </c>
      <c r="BF111" s="38"/>
      <c r="BG111" s="38"/>
      <c r="BH111" s="38">
        <f t="shared" si="55"/>
        <v>1165.08</v>
      </c>
      <c r="BI111" s="38"/>
      <c r="BJ111" s="38"/>
      <c r="BK111" s="38">
        <f t="shared" si="56"/>
        <v>1165.08</v>
      </c>
      <c r="BL111" s="337"/>
      <c r="BM111" s="37"/>
      <c r="BN111" s="131"/>
      <c r="BO111" s="34"/>
      <c r="BP111" s="34"/>
      <c r="BQ111" s="34"/>
      <c r="BR111" s="34"/>
      <c r="BS111" s="34"/>
      <c r="BT111" s="34"/>
      <c r="BU111" s="34"/>
      <c r="BV111" s="34"/>
      <c r="BW111" s="95"/>
      <c r="BX111" s="95"/>
      <c r="BY111" s="95"/>
      <c r="BZ111" s="95"/>
      <c r="CA111" s="95"/>
      <c r="CB111" s="95"/>
      <c r="CC111" s="10" t="s">
        <v>430</v>
      </c>
      <c r="CD111" s="67">
        <v>1165</v>
      </c>
      <c r="CE111" s="67">
        <v>1165</v>
      </c>
      <c r="CF111" s="781">
        <f t="shared" si="53"/>
        <v>0</v>
      </c>
      <c r="CG111" s="133" t="s">
        <v>544</v>
      </c>
      <c r="CH111" s="133" t="s">
        <v>544</v>
      </c>
      <c r="CI111" s="133" t="s">
        <v>544</v>
      </c>
      <c r="CJ111" s="133"/>
      <c r="CK111" s="62"/>
      <c r="CL111" s="62"/>
      <c r="CM111" s="63"/>
      <c r="CN111" s="8"/>
      <c r="CO111" s="8"/>
      <c r="CP111" s="66"/>
      <c r="CQ111" s="9" t="s">
        <v>469</v>
      </c>
      <c r="CR111" s="9" t="s">
        <v>440</v>
      </c>
    </row>
    <row r="112" spans="1:96" s="19" customFormat="1" ht="166.2" customHeight="1" x14ac:dyDescent="0.3">
      <c r="A112" s="4" t="s">
        <v>907</v>
      </c>
      <c r="B112" s="5" t="s">
        <v>90</v>
      </c>
      <c r="C112" s="5" t="s">
        <v>91</v>
      </c>
      <c r="D112" s="5" t="s">
        <v>92</v>
      </c>
      <c r="E112" s="22" t="s">
        <v>226</v>
      </c>
      <c r="F112" s="41" t="s">
        <v>227</v>
      </c>
      <c r="G112" s="32" t="s">
        <v>229</v>
      </c>
      <c r="H112" s="8" t="s">
        <v>230</v>
      </c>
      <c r="I112" s="330" t="s">
        <v>892</v>
      </c>
      <c r="J112" s="8" t="s">
        <v>96</v>
      </c>
      <c r="K112" s="10">
        <v>2025</v>
      </c>
      <c r="L112" s="11" t="s">
        <v>46</v>
      </c>
      <c r="M112" s="11" t="s">
        <v>47</v>
      </c>
      <c r="N112" s="11" t="s">
        <v>47</v>
      </c>
      <c r="O112" s="12">
        <v>1</v>
      </c>
      <c r="P112" s="36" t="s">
        <v>231</v>
      </c>
      <c r="Q112" s="13"/>
      <c r="R112" s="14" t="s">
        <v>48</v>
      </c>
      <c r="S112" s="15" t="s">
        <v>49</v>
      </c>
      <c r="T112" s="15" t="s">
        <v>50</v>
      </c>
      <c r="U112" s="9" t="s">
        <v>51</v>
      </c>
      <c r="V112" s="9" t="s">
        <v>52</v>
      </c>
      <c r="W112" s="9" t="s">
        <v>53</v>
      </c>
      <c r="X112" s="9" t="s">
        <v>54</v>
      </c>
      <c r="Y112" s="16" t="s">
        <v>55</v>
      </c>
      <c r="Z112" s="21">
        <v>865</v>
      </c>
      <c r="AA112" s="55"/>
      <c r="AB112" s="55"/>
      <c r="AC112" s="55">
        <v>1</v>
      </c>
      <c r="AD112" s="18">
        <f t="shared" si="95"/>
        <v>1</v>
      </c>
      <c r="AE112" s="38"/>
      <c r="AF112" s="38"/>
      <c r="AG112" s="38">
        <f t="shared" ref="AG112:AG117" si="98">+BK112</f>
        <v>0</v>
      </c>
      <c r="AH112" s="38">
        <f t="shared" si="75"/>
        <v>0</v>
      </c>
      <c r="AI112" s="38"/>
      <c r="AJ112" s="38"/>
      <c r="AK112" s="359"/>
      <c r="AL112" s="359"/>
      <c r="AM112" s="74">
        <f t="shared" si="96"/>
        <v>865</v>
      </c>
      <c r="AN112" s="38"/>
      <c r="AO112" s="38"/>
      <c r="AP112" s="74">
        <f t="shared" si="97"/>
        <v>865</v>
      </c>
      <c r="AQ112" s="38"/>
      <c r="AR112" s="38"/>
      <c r="AS112" s="74">
        <f>+AP112+AQ112-AR112</f>
        <v>865</v>
      </c>
      <c r="AT112" s="38"/>
      <c r="AU112" s="38"/>
      <c r="AV112" s="38">
        <f>+AS112+AT112-AU112</f>
        <v>865</v>
      </c>
      <c r="AW112" s="38"/>
      <c r="AX112" s="38"/>
      <c r="AY112" s="38">
        <f>+AV112+AW112-AX112</f>
        <v>865</v>
      </c>
      <c r="AZ112" s="38"/>
      <c r="BA112" s="38"/>
      <c r="BB112" s="38">
        <f>+AY112+AZ112-BA112</f>
        <v>865</v>
      </c>
      <c r="BC112" s="74">
        <v>1535</v>
      </c>
      <c r="BD112" s="74"/>
      <c r="BE112" s="38">
        <f t="shared" si="54"/>
        <v>2400</v>
      </c>
      <c r="BF112" s="38"/>
      <c r="BG112" s="38">
        <v>2400</v>
      </c>
      <c r="BH112" s="38">
        <f t="shared" si="55"/>
        <v>0</v>
      </c>
      <c r="BI112" s="38"/>
      <c r="BJ112" s="38"/>
      <c r="BK112" s="38">
        <f t="shared" si="56"/>
        <v>0</v>
      </c>
      <c r="BL112" s="337" t="s">
        <v>56</v>
      </c>
      <c r="BM112" s="37"/>
      <c r="BN112" s="131"/>
      <c r="BO112" s="34"/>
      <c r="BP112" s="34"/>
      <c r="BQ112" s="34"/>
      <c r="BR112" s="34"/>
      <c r="BS112" s="34"/>
      <c r="BT112" s="34"/>
      <c r="BU112" s="34"/>
      <c r="BV112" s="34"/>
      <c r="BW112" s="95"/>
      <c r="BX112" s="95"/>
      <c r="BY112" s="95"/>
      <c r="BZ112" s="95"/>
      <c r="CA112" s="95"/>
      <c r="CB112" s="95"/>
      <c r="CC112" s="99"/>
      <c r="CD112" s="96"/>
      <c r="CE112" s="96"/>
      <c r="CF112" s="781">
        <f t="shared" si="53"/>
        <v>0</v>
      </c>
      <c r="CG112" s="134" t="s">
        <v>974</v>
      </c>
      <c r="CH112" s="134"/>
      <c r="CI112" s="412"/>
      <c r="CJ112" s="412"/>
      <c r="CK112" s="62">
        <v>45731</v>
      </c>
      <c r="CL112" s="62">
        <v>45748</v>
      </c>
      <c r="CM112" s="63" t="s">
        <v>342</v>
      </c>
      <c r="CN112" s="8" t="s">
        <v>45</v>
      </c>
      <c r="CO112" s="8" t="s">
        <v>351</v>
      </c>
      <c r="CP112" s="9" t="str">
        <f>+CO112</f>
        <v>PARRA ZAMBONINO SANTOS NAVIGIO</v>
      </c>
      <c r="CQ112" s="9"/>
      <c r="CR112" s="9"/>
    </row>
    <row r="113" spans="1:96" s="19" customFormat="1" ht="100.95" customHeight="1" x14ac:dyDescent="0.3">
      <c r="A113" s="4" t="s">
        <v>907</v>
      </c>
      <c r="B113" s="5" t="s">
        <v>90</v>
      </c>
      <c r="C113" s="5" t="s">
        <v>91</v>
      </c>
      <c r="D113" s="5" t="s">
        <v>92</v>
      </c>
      <c r="E113" s="22" t="s">
        <v>171</v>
      </c>
      <c r="F113" s="8" t="s">
        <v>172</v>
      </c>
      <c r="G113" s="32" t="s">
        <v>206</v>
      </c>
      <c r="H113" s="8" t="s">
        <v>204</v>
      </c>
      <c r="I113" s="14" t="s">
        <v>892</v>
      </c>
      <c r="J113" s="8" t="s">
        <v>156</v>
      </c>
      <c r="K113" s="10">
        <v>2025</v>
      </c>
      <c r="L113" s="11" t="s">
        <v>46</v>
      </c>
      <c r="M113" s="11" t="s">
        <v>47</v>
      </c>
      <c r="N113" s="11" t="s">
        <v>47</v>
      </c>
      <c r="O113" s="4">
        <v>3</v>
      </c>
      <c r="P113" s="4" t="s">
        <v>207</v>
      </c>
      <c r="Q113" s="13"/>
      <c r="R113" s="14" t="s">
        <v>48</v>
      </c>
      <c r="S113" s="15" t="s">
        <v>49</v>
      </c>
      <c r="T113" s="15" t="s">
        <v>50</v>
      </c>
      <c r="U113" s="7" t="s">
        <v>160</v>
      </c>
      <c r="V113" s="7" t="s">
        <v>161</v>
      </c>
      <c r="W113" s="7" t="s">
        <v>162</v>
      </c>
      <c r="X113" s="7" t="s">
        <v>163</v>
      </c>
      <c r="Y113" s="16" t="s">
        <v>55</v>
      </c>
      <c r="Z113" s="21">
        <f>1180+2800</f>
        <v>3980</v>
      </c>
      <c r="AA113" s="55"/>
      <c r="AB113" s="55"/>
      <c r="AC113" s="55">
        <v>1</v>
      </c>
      <c r="AD113" s="18">
        <f t="shared" si="95"/>
        <v>1</v>
      </c>
      <c r="AE113" s="38"/>
      <c r="AF113" s="38"/>
      <c r="AG113" s="38">
        <f t="shared" si="98"/>
        <v>8000</v>
      </c>
      <c r="AH113" s="38">
        <f t="shared" si="75"/>
        <v>8000</v>
      </c>
      <c r="AI113" s="38"/>
      <c r="AJ113" s="38"/>
      <c r="AK113" s="359"/>
      <c r="AL113" s="359"/>
      <c r="AM113" s="74">
        <f t="shared" si="96"/>
        <v>3980</v>
      </c>
      <c r="AN113" s="38"/>
      <c r="AO113" s="38"/>
      <c r="AP113" s="74">
        <f t="shared" si="97"/>
        <v>3980</v>
      </c>
      <c r="AQ113" s="38"/>
      <c r="AR113" s="38"/>
      <c r="AS113" s="74">
        <f>+AP113+AQ113-AR113</f>
        <v>3980</v>
      </c>
      <c r="AT113" s="38"/>
      <c r="AU113" s="38"/>
      <c r="AV113" s="38">
        <f>+AS113+AT113-AU113</f>
        <v>3980</v>
      </c>
      <c r="AW113" s="38"/>
      <c r="AX113" s="38"/>
      <c r="AY113" s="38">
        <f>+AV113+AW113-AX113</f>
        <v>3980</v>
      </c>
      <c r="AZ113" s="38"/>
      <c r="BA113" s="38"/>
      <c r="BB113" s="38">
        <f>+AY113+AZ113-BA113</f>
        <v>3980</v>
      </c>
      <c r="BC113" s="74"/>
      <c r="BD113" s="74"/>
      <c r="BE113" s="38">
        <f t="shared" si="54"/>
        <v>3980</v>
      </c>
      <c r="BF113" s="38">
        <v>4020</v>
      </c>
      <c r="BG113" s="38"/>
      <c r="BH113" s="38">
        <f t="shared" si="55"/>
        <v>8000</v>
      </c>
      <c r="BI113" s="38"/>
      <c r="BJ113" s="38"/>
      <c r="BK113" s="38">
        <f t="shared" si="56"/>
        <v>8000</v>
      </c>
      <c r="BL113" s="337" t="s">
        <v>56</v>
      </c>
      <c r="BM113" s="10"/>
      <c r="BN113" s="131"/>
      <c r="BO113" s="34"/>
      <c r="BP113" s="80"/>
      <c r="BQ113" s="80"/>
      <c r="BR113" s="34"/>
      <c r="BS113" s="34"/>
      <c r="BT113" s="34"/>
      <c r="BU113" s="34"/>
      <c r="BV113" s="34"/>
      <c r="BW113" s="95"/>
      <c r="BX113" s="95"/>
      <c r="BY113" s="95"/>
      <c r="BZ113" s="95"/>
      <c r="CA113" s="95"/>
      <c r="CB113" s="95"/>
      <c r="CC113" s="99"/>
      <c r="CD113" s="96"/>
      <c r="CE113" s="96"/>
      <c r="CF113" s="781">
        <f t="shared" si="53"/>
        <v>0</v>
      </c>
      <c r="CG113" s="421" t="s">
        <v>970</v>
      </c>
      <c r="CH113" s="422">
        <v>0.3</v>
      </c>
      <c r="CI113" s="423">
        <v>45947</v>
      </c>
      <c r="CJ113" s="524" t="s">
        <v>470</v>
      </c>
      <c r="CK113" s="62">
        <v>45767</v>
      </c>
      <c r="CL113" s="62">
        <v>45777</v>
      </c>
      <c r="CM113" s="63" t="s">
        <v>342</v>
      </c>
      <c r="CN113" s="8" t="s">
        <v>45</v>
      </c>
      <c r="CO113" s="8" t="s">
        <v>340</v>
      </c>
      <c r="CP113" s="66" t="str">
        <f>+CM113</f>
        <v>ZAMBRANO LESCANO HENRY FERNANDO</v>
      </c>
      <c r="CQ113" s="9"/>
      <c r="CR113" s="9"/>
    </row>
    <row r="114" spans="1:96" s="19" customFormat="1" ht="117.6" customHeight="1" x14ac:dyDescent="0.3">
      <c r="A114" s="4" t="s">
        <v>907</v>
      </c>
      <c r="B114" s="5" t="s">
        <v>90</v>
      </c>
      <c r="C114" s="5" t="s">
        <v>91</v>
      </c>
      <c r="D114" s="5" t="s">
        <v>92</v>
      </c>
      <c r="E114" s="22" t="s">
        <v>208</v>
      </c>
      <c r="F114" s="8" t="s">
        <v>209</v>
      </c>
      <c r="G114" s="32" t="s">
        <v>206</v>
      </c>
      <c r="H114" s="8" t="s">
        <v>204</v>
      </c>
      <c r="I114" s="14" t="s">
        <v>892</v>
      </c>
      <c r="J114" s="8" t="s">
        <v>156</v>
      </c>
      <c r="K114" s="10">
        <v>2025</v>
      </c>
      <c r="L114" s="11" t="s">
        <v>46</v>
      </c>
      <c r="M114" s="11" t="s">
        <v>47</v>
      </c>
      <c r="N114" s="11" t="s">
        <v>47</v>
      </c>
      <c r="O114" s="4">
        <v>3</v>
      </c>
      <c r="P114" s="4" t="s">
        <v>207</v>
      </c>
      <c r="Q114" s="13"/>
      <c r="R114" s="14" t="s">
        <v>48</v>
      </c>
      <c r="S114" s="15" t="s">
        <v>49</v>
      </c>
      <c r="T114" s="15" t="s">
        <v>50</v>
      </c>
      <c r="U114" s="7" t="s">
        <v>160</v>
      </c>
      <c r="V114" s="7" t="s">
        <v>161</v>
      </c>
      <c r="W114" s="7" t="s">
        <v>162</v>
      </c>
      <c r="X114" s="7" t="s">
        <v>163</v>
      </c>
      <c r="Y114" s="16" t="s">
        <v>55</v>
      </c>
      <c r="Z114" s="21">
        <v>500</v>
      </c>
      <c r="AA114" s="55"/>
      <c r="AB114" s="55"/>
      <c r="AC114" s="55">
        <v>1</v>
      </c>
      <c r="AD114" s="18">
        <f t="shared" si="95"/>
        <v>1</v>
      </c>
      <c r="AE114" s="38"/>
      <c r="AF114" s="38"/>
      <c r="AG114" s="38">
        <f t="shared" si="98"/>
        <v>0</v>
      </c>
      <c r="AH114" s="38">
        <f t="shared" si="75"/>
        <v>0</v>
      </c>
      <c r="AI114" s="38"/>
      <c r="AJ114" s="38"/>
      <c r="AK114" s="359"/>
      <c r="AL114" s="359"/>
      <c r="AM114" s="74">
        <f t="shared" si="96"/>
        <v>500</v>
      </c>
      <c r="AN114" s="38"/>
      <c r="AO114" s="38"/>
      <c r="AP114" s="74">
        <f t="shared" si="97"/>
        <v>500</v>
      </c>
      <c r="AQ114" s="38"/>
      <c r="AR114" s="38"/>
      <c r="AS114" s="74">
        <f>+AP114+AQ114-AR114</f>
        <v>500</v>
      </c>
      <c r="AT114" s="38"/>
      <c r="AU114" s="38"/>
      <c r="AV114" s="38">
        <f>+AS114+AT114-AU114</f>
        <v>500</v>
      </c>
      <c r="AW114" s="38"/>
      <c r="AX114" s="38"/>
      <c r="AY114" s="38">
        <f>+AV114+AW114-AX114</f>
        <v>500</v>
      </c>
      <c r="AZ114" s="38"/>
      <c r="BA114" s="38"/>
      <c r="BB114" s="38">
        <f>+AY114+AZ114-BA114</f>
        <v>500</v>
      </c>
      <c r="BC114" s="74"/>
      <c r="BD114" s="74"/>
      <c r="BE114" s="38">
        <f t="shared" si="54"/>
        <v>500</v>
      </c>
      <c r="BF114" s="38"/>
      <c r="BG114" s="38">
        <v>500</v>
      </c>
      <c r="BH114" s="38">
        <f t="shared" si="55"/>
        <v>0</v>
      </c>
      <c r="BI114" s="38"/>
      <c r="BJ114" s="38"/>
      <c r="BK114" s="38">
        <f t="shared" si="56"/>
        <v>0</v>
      </c>
      <c r="BL114" s="337" t="s">
        <v>56</v>
      </c>
      <c r="BM114" s="10"/>
      <c r="BN114" s="131"/>
      <c r="BO114" s="34"/>
      <c r="BP114" s="34"/>
      <c r="BQ114" s="34"/>
      <c r="BR114" s="34"/>
      <c r="BS114" s="34"/>
      <c r="BT114" s="34"/>
      <c r="BU114" s="34"/>
      <c r="BV114" s="34"/>
      <c r="BW114" s="95"/>
      <c r="BX114" s="95"/>
      <c r="BY114" s="95"/>
      <c r="BZ114" s="95"/>
      <c r="CA114" s="95"/>
      <c r="CB114" s="95"/>
      <c r="CC114" s="99"/>
      <c r="CD114" s="96"/>
      <c r="CE114" s="96"/>
      <c r="CF114" s="781">
        <f t="shared" si="53"/>
        <v>0</v>
      </c>
      <c r="CG114" s="421" t="s">
        <v>970</v>
      </c>
      <c r="CH114" s="422">
        <v>0.3</v>
      </c>
      <c r="CI114" s="423">
        <v>45947</v>
      </c>
      <c r="CJ114" s="524" t="s">
        <v>470</v>
      </c>
      <c r="CK114" s="62">
        <v>45767</v>
      </c>
      <c r="CL114" s="62">
        <v>45777</v>
      </c>
      <c r="CM114" s="63" t="s">
        <v>342</v>
      </c>
      <c r="CN114" s="8" t="s">
        <v>45</v>
      </c>
      <c r="CO114" s="8" t="s">
        <v>340</v>
      </c>
      <c r="CP114" s="66" t="str">
        <f>+CM114</f>
        <v>ZAMBRANO LESCANO HENRY FERNANDO</v>
      </c>
      <c r="CQ114" s="9"/>
      <c r="CR114" s="9"/>
    </row>
    <row r="115" spans="1:96" s="19" customFormat="1" ht="102.6" customHeight="1" x14ac:dyDescent="0.3">
      <c r="A115" s="4" t="s">
        <v>907</v>
      </c>
      <c r="B115" s="5" t="s">
        <v>90</v>
      </c>
      <c r="C115" s="5" t="s">
        <v>91</v>
      </c>
      <c r="D115" s="5" t="s">
        <v>92</v>
      </c>
      <c r="E115" s="22" t="s">
        <v>210</v>
      </c>
      <c r="F115" s="8" t="s">
        <v>211</v>
      </c>
      <c r="G115" s="32" t="s">
        <v>206</v>
      </c>
      <c r="H115" s="8" t="s">
        <v>204</v>
      </c>
      <c r="I115" s="14" t="s">
        <v>892</v>
      </c>
      <c r="J115" s="8" t="s">
        <v>156</v>
      </c>
      <c r="K115" s="10">
        <v>2025</v>
      </c>
      <c r="L115" s="11" t="s">
        <v>46</v>
      </c>
      <c r="M115" s="11" t="s">
        <v>47</v>
      </c>
      <c r="N115" s="11" t="s">
        <v>47</v>
      </c>
      <c r="O115" s="4">
        <v>3</v>
      </c>
      <c r="P115" s="4" t="s">
        <v>207</v>
      </c>
      <c r="Q115" s="13"/>
      <c r="R115" s="14" t="s">
        <v>48</v>
      </c>
      <c r="S115" s="15" t="s">
        <v>49</v>
      </c>
      <c r="T115" s="15" t="s">
        <v>50</v>
      </c>
      <c r="U115" s="7" t="s">
        <v>160</v>
      </c>
      <c r="V115" s="7" t="s">
        <v>161</v>
      </c>
      <c r="W115" s="7" t="s">
        <v>162</v>
      </c>
      <c r="X115" s="7" t="s">
        <v>163</v>
      </c>
      <c r="Y115" s="16" t="s">
        <v>55</v>
      </c>
      <c r="Z115" s="21">
        <f>80+260</f>
        <v>340</v>
      </c>
      <c r="AA115" s="55"/>
      <c r="AB115" s="55"/>
      <c r="AC115" s="55">
        <v>1</v>
      </c>
      <c r="AD115" s="18">
        <f t="shared" si="95"/>
        <v>1</v>
      </c>
      <c r="AE115" s="38"/>
      <c r="AF115" s="38"/>
      <c r="AG115" s="38">
        <f t="shared" si="98"/>
        <v>0</v>
      </c>
      <c r="AH115" s="38">
        <f t="shared" si="75"/>
        <v>0</v>
      </c>
      <c r="AI115" s="38"/>
      <c r="AJ115" s="38"/>
      <c r="AK115" s="359"/>
      <c r="AL115" s="359"/>
      <c r="AM115" s="74">
        <f t="shared" si="96"/>
        <v>340</v>
      </c>
      <c r="AN115" s="38"/>
      <c r="AO115" s="38"/>
      <c r="AP115" s="74">
        <f t="shared" si="97"/>
        <v>340</v>
      </c>
      <c r="AQ115" s="38"/>
      <c r="AR115" s="38"/>
      <c r="AS115" s="74">
        <f>+AP115+AQ115-AR115</f>
        <v>340</v>
      </c>
      <c r="AT115" s="38"/>
      <c r="AU115" s="38"/>
      <c r="AV115" s="38">
        <f>+AS115+AT115-AU115</f>
        <v>340</v>
      </c>
      <c r="AW115" s="38"/>
      <c r="AX115" s="38"/>
      <c r="AY115" s="38">
        <f>+AV115+AW115-AX115</f>
        <v>340</v>
      </c>
      <c r="AZ115" s="38"/>
      <c r="BA115" s="38"/>
      <c r="BB115" s="38">
        <f>+AY115+AZ115-BA115</f>
        <v>340</v>
      </c>
      <c r="BC115" s="74"/>
      <c r="BD115" s="74"/>
      <c r="BE115" s="38">
        <f t="shared" si="54"/>
        <v>340</v>
      </c>
      <c r="BF115" s="38"/>
      <c r="BG115" s="38">
        <v>340</v>
      </c>
      <c r="BH115" s="38">
        <f t="shared" si="55"/>
        <v>0</v>
      </c>
      <c r="BI115" s="38"/>
      <c r="BJ115" s="38"/>
      <c r="BK115" s="38">
        <f t="shared" si="56"/>
        <v>0</v>
      </c>
      <c r="BL115" s="337" t="s">
        <v>56</v>
      </c>
      <c r="BM115" s="10"/>
      <c r="BN115" s="131"/>
      <c r="BO115" s="34"/>
      <c r="BP115" s="34"/>
      <c r="BQ115" s="34"/>
      <c r="BR115" s="34"/>
      <c r="BS115" s="34"/>
      <c r="BT115" s="34"/>
      <c r="BU115" s="34"/>
      <c r="BV115" s="34"/>
      <c r="BW115" s="95"/>
      <c r="BX115" s="95"/>
      <c r="BY115" s="95"/>
      <c r="BZ115" s="95"/>
      <c r="CA115" s="95"/>
      <c r="CB115" s="95"/>
      <c r="CC115" s="99"/>
      <c r="CD115" s="96"/>
      <c r="CE115" s="96"/>
      <c r="CF115" s="781">
        <f t="shared" si="53"/>
        <v>0</v>
      </c>
      <c r="CG115" s="421" t="s">
        <v>970</v>
      </c>
      <c r="CH115" s="422">
        <v>0.3</v>
      </c>
      <c r="CI115" s="423">
        <v>45947</v>
      </c>
      <c r="CJ115" s="524" t="s">
        <v>470</v>
      </c>
      <c r="CK115" s="62">
        <v>45767</v>
      </c>
      <c r="CL115" s="62">
        <v>45777</v>
      </c>
      <c r="CM115" s="63" t="s">
        <v>342</v>
      </c>
      <c r="CN115" s="8" t="s">
        <v>45</v>
      </c>
      <c r="CO115" s="8" t="s">
        <v>340</v>
      </c>
      <c r="CP115" s="66" t="str">
        <f>+CM115</f>
        <v>ZAMBRANO LESCANO HENRY FERNANDO</v>
      </c>
      <c r="CQ115" s="9"/>
      <c r="CR115" s="9"/>
    </row>
    <row r="116" spans="1:96" s="19" customFormat="1" ht="90.6" customHeight="1" x14ac:dyDescent="0.3">
      <c r="A116" s="4" t="s">
        <v>907</v>
      </c>
      <c r="B116" s="5" t="s">
        <v>90</v>
      </c>
      <c r="C116" s="5" t="s">
        <v>91</v>
      </c>
      <c r="D116" s="5" t="s">
        <v>92</v>
      </c>
      <c r="E116" s="22" t="s">
        <v>212</v>
      </c>
      <c r="F116" s="8" t="s">
        <v>213</v>
      </c>
      <c r="G116" s="32" t="s">
        <v>206</v>
      </c>
      <c r="H116" s="8" t="s">
        <v>204</v>
      </c>
      <c r="I116" s="14" t="s">
        <v>892</v>
      </c>
      <c r="J116" s="8" t="s">
        <v>156</v>
      </c>
      <c r="K116" s="10">
        <v>2025</v>
      </c>
      <c r="L116" s="11" t="s">
        <v>46</v>
      </c>
      <c r="M116" s="11" t="s">
        <v>47</v>
      </c>
      <c r="N116" s="11" t="s">
        <v>47</v>
      </c>
      <c r="O116" s="4">
        <v>3</v>
      </c>
      <c r="P116" s="4" t="s">
        <v>207</v>
      </c>
      <c r="Q116" s="13"/>
      <c r="R116" s="14" t="s">
        <v>48</v>
      </c>
      <c r="S116" s="15" t="s">
        <v>49</v>
      </c>
      <c r="T116" s="15" t="s">
        <v>50</v>
      </c>
      <c r="U116" s="7" t="s">
        <v>160</v>
      </c>
      <c r="V116" s="7" t="s">
        <v>161</v>
      </c>
      <c r="W116" s="7" t="s">
        <v>162</v>
      </c>
      <c r="X116" s="7" t="s">
        <v>163</v>
      </c>
      <c r="Y116" s="16" t="s">
        <v>55</v>
      </c>
      <c r="Z116" s="21">
        <v>120</v>
      </c>
      <c r="AA116" s="55"/>
      <c r="AB116" s="55"/>
      <c r="AC116" s="55">
        <v>1</v>
      </c>
      <c r="AD116" s="18">
        <f t="shared" si="95"/>
        <v>1</v>
      </c>
      <c r="AE116" s="38"/>
      <c r="AF116" s="38"/>
      <c r="AG116" s="38">
        <f t="shared" si="98"/>
        <v>0</v>
      </c>
      <c r="AH116" s="38">
        <f t="shared" si="75"/>
        <v>0</v>
      </c>
      <c r="AI116" s="38"/>
      <c r="AJ116" s="38"/>
      <c r="AK116" s="359"/>
      <c r="AL116" s="359"/>
      <c r="AM116" s="74">
        <f t="shared" si="96"/>
        <v>120</v>
      </c>
      <c r="AN116" s="38"/>
      <c r="AO116" s="38"/>
      <c r="AP116" s="74">
        <f t="shared" si="97"/>
        <v>120</v>
      </c>
      <c r="AQ116" s="38"/>
      <c r="AR116" s="38"/>
      <c r="AS116" s="74">
        <f>+AP116+AQ116-AR116</f>
        <v>120</v>
      </c>
      <c r="AT116" s="38"/>
      <c r="AU116" s="38"/>
      <c r="AV116" s="38">
        <f>+AS116+AT116-AU116</f>
        <v>120</v>
      </c>
      <c r="AW116" s="38"/>
      <c r="AX116" s="38"/>
      <c r="AY116" s="38">
        <f>+AV116+AW116-AX116</f>
        <v>120</v>
      </c>
      <c r="AZ116" s="38"/>
      <c r="BA116" s="38"/>
      <c r="BB116" s="38">
        <f>+AY116+AZ116-BA116</f>
        <v>120</v>
      </c>
      <c r="BC116" s="74"/>
      <c r="BD116" s="74"/>
      <c r="BE116" s="38">
        <f t="shared" si="54"/>
        <v>120</v>
      </c>
      <c r="BF116" s="38"/>
      <c r="BG116" s="38">
        <v>120</v>
      </c>
      <c r="BH116" s="38">
        <f t="shared" si="55"/>
        <v>0</v>
      </c>
      <c r="BI116" s="38"/>
      <c r="BJ116" s="38"/>
      <c r="BK116" s="38">
        <f t="shared" si="56"/>
        <v>0</v>
      </c>
      <c r="BL116" s="337" t="s">
        <v>56</v>
      </c>
      <c r="BM116" s="10"/>
      <c r="BN116" s="131"/>
      <c r="BO116" s="34"/>
      <c r="BP116" s="67"/>
      <c r="BQ116" s="67"/>
      <c r="BR116" s="34"/>
      <c r="BS116" s="34"/>
      <c r="BT116" s="34"/>
      <c r="BU116" s="34"/>
      <c r="BV116" s="34"/>
      <c r="BW116" s="95"/>
      <c r="BX116" s="96"/>
      <c r="BY116" s="96"/>
      <c r="BZ116" s="96"/>
      <c r="CA116" s="96"/>
      <c r="CB116" s="96"/>
      <c r="CC116" s="99"/>
      <c r="CD116" s="96"/>
      <c r="CE116" s="96"/>
      <c r="CF116" s="781">
        <f t="shared" si="53"/>
        <v>0</v>
      </c>
      <c r="CG116" s="421" t="s">
        <v>970</v>
      </c>
      <c r="CH116" s="422">
        <v>0.3</v>
      </c>
      <c r="CI116" s="423">
        <v>45947</v>
      </c>
      <c r="CJ116" s="524" t="s">
        <v>470</v>
      </c>
      <c r="CK116" s="62">
        <v>45767</v>
      </c>
      <c r="CL116" s="62">
        <v>45777</v>
      </c>
      <c r="CM116" s="63" t="s">
        <v>342</v>
      </c>
      <c r="CN116" s="8" t="s">
        <v>45</v>
      </c>
      <c r="CO116" s="8" t="s">
        <v>340</v>
      </c>
      <c r="CP116" s="66" t="str">
        <f>+CM116</f>
        <v>ZAMBRANO LESCANO HENRY FERNANDO</v>
      </c>
      <c r="CQ116" s="9"/>
      <c r="CR116" s="9"/>
    </row>
    <row r="117" spans="1:96" s="19" customFormat="1" ht="233.4" customHeight="1" x14ac:dyDescent="0.3">
      <c r="A117" s="4" t="s">
        <v>899</v>
      </c>
      <c r="B117" s="5" t="s">
        <v>248</v>
      </c>
      <c r="C117" s="5" t="s">
        <v>249</v>
      </c>
      <c r="D117" s="5" t="s">
        <v>250</v>
      </c>
      <c r="E117" s="22" t="s">
        <v>251</v>
      </c>
      <c r="F117" s="41" t="s">
        <v>252</v>
      </c>
      <c r="G117" s="32" t="s">
        <v>253</v>
      </c>
      <c r="H117" s="14" t="s">
        <v>254</v>
      </c>
      <c r="I117" s="9" t="s">
        <v>893</v>
      </c>
      <c r="J117" s="8" t="s">
        <v>96</v>
      </c>
      <c r="K117" s="10">
        <v>2025</v>
      </c>
      <c r="L117" s="11" t="s">
        <v>56</v>
      </c>
      <c r="M117" s="11" t="s">
        <v>47</v>
      </c>
      <c r="N117" s="11" t="s">
        <v>47</v>
      </c>
      <c r="O117" s="12">
        <v>1</v>
      </c>
      <c r="P117" s="12" t="s">
        <v>255</v>
      </c>
      <c r="Q117" s="13"/>
      <c r="R117" s="14" t="s">
        <v>48</v>
      </c>
      <c r="S117" s="15" t="s">
        <v>49</v>
      </c>
      <c r="T117" s="15" t="s">
        <v>50</v>
      </c>
      <c r="U117" s="25" t="s">
        <v>160</v>
      </c>
      <c r="V117" s="32" t="s">
        <v>256</v>
      </c>
      <c r="W117" s="32" t="s">
        <v>162</v>
      </c>
      <c r="X117" s="32" t="s">
        <v>257</v>
      </c>
      <c r="Y117" s="16" t="s">
        <v>55</v>
      </c>
      <c r="Z117" s="21">
        <v>1200</v>
      </c>
      <c r="AA117" s="55">
        <v>0.33329999999999999</v>
      </c>
      <c r="AB117" s="55">
        <v>0.33329999999999999</v>
      </c>
      <c r="AC117" s="55">
        <v>0.33329999999999999</v>
      </c>
      <c r="AD117" s="18">
        <f t="shared" si="44"/>
        <v>0.99990000000000001</v>
      </c>
      <c r="AE117" s="38"/>
      <c r="AF117" s="38"/>
      <c r="AG117" s="38">
        <f t="shared" si="98"/>
        <v>0</v>
      </c>
      <c r="AH117" s="38">
        <f t="shared" si="75"/>
        <v>0</v>
      </c>
      <c r="AI117" s="38"/>
      <c r="AJ117" s="38"/>
      <c r="AK117" s="359"/>
      <c r="AL117" s="359"/>
      <c r="AM117" s="74">
        <f t="shared" si="88"/>
        <v>1200</v>
      </c>
      <c r="AN117" s="38"/>
      <c r="AO117" s="38"/>
      <c r="AP117" s="74">
        <f t="shared" si="89"/>
        <v>1200</v>
      </c>
      <c r="AQ117" s="38"/>
      <c r="AR117" s="38"/>
      <c r="AS117" s="74">
        <f t="shared" si="90"/>
        <v>1200</v>
      </c>
      <c r="AT117" s="38"/>
      <c r="AU117" s="38"/>
      <c r="AV117" s="38">
        <f t="shared" si="91"/>
        <v>1200</v>
      </c>
      <c r="AW117" s="38"/>
      <c r="AX117" s="38"/>
      <c r="AY117" s="38">
        <f t="shared" si="92"/>
        <v>1200</v>
      </c>
      <c r="AZ117" s="38"/>
      <c r="BA117" s="38"/>
      <c r="BB117" s="38">
        <f t="shared" si="93"/>
        <v>1200</v>
      </c>
      <c r="BC117" s="74"/>
      <c r="BD117" s="74">
        <v>1200</v>
      </c>
      <c r="BE117" s="74">
        <f t="shared" si="54"/>
        <v>0</v>
      </c>
      <c r="BF117" s="74"/>
      <c r="BG117" s="74"/>
      <c r="BH117" s="38">
        <f t="shared" si="55"/>
        <v>0</v>
      </c>
      <c r="BI117" s="38"/>
      <c r="BJ117" s="38"/>
      <c r="BK117" s="38">
        <f t="shared" si="56"/>
        <v>0</v>
      </c>
      <c r="BL117" s="337" t="s">
        <v>56</v>
      </c>
      <c r="BM117" s="37"/>
      <c r="BN117" s="131"/>
      <c r="BO117" s="34"/>
      <c r="BP117" s="34"/>
      <c r="BQ117" s="34"/>
      <c r="BR117" s="34"/>
      <c r="BS117" s="34"/>
      <c r="BT117" s="34"/>
      <c r="BU117" s="34"/>
      <c r="BV117" s="34"/>
      <c r="BW117" s="95"/>
      <c r="BX117" s="95"/>
      <c r="BY117" s="95"/>
      <c r="BZ117" s="95"/>
      <c r="CA117" s="95"/>
      <c r="CB117" s="95"/>
      <c r="CC117" s="99"/>
      <c r="CD117" s="96"/>
      <c r="CE117" s="67"/>
      <c r="CF117" s="781">
        <f t="shared" si="53"/>
        <v>0</v>
      </c>
      <c r="CG117" s="420" t="s">
        <v>971</v>
      </c>
      <c r="CH117" s="134"/>
      <c r="CI117" s="412"/>
      <c r="CJ117" s="412"/>
      <c r="CK117" s="62">
        <v>45787</v>
      </c>
      <c r="CL117" s="62" t="s">
        <v>366</v>
      </c>
      <c r="CM117" s="63" t="s">
        <v>359</v>
      </c>
      <c r="CN117" s="8" t="s">
        <v>361</v>
      </c>
      <c r="CO117" s="8" t="s">
        <v>363</v>
      </c>
      <c r="CP117" s="9" t="str">
        <f>+CO117</f>
        <v>CASTILLO ESPIN HECTOR GONZALO</v>
      </c>
      <c r="CQ117" s="9"/>
      <c r="CR117" s="9"/>
    </row>
    <row r="118" spans="1:96" s="19" customFormat="1" ht="155.69999999999999" customHeight="1" x14ac:dyDescent="0.3">
      <c r="A118" s="4" t="s">
        <v>899</v>
      </c>
      <c r="B118" s="5" t="s">
        <v>248</v>
      </c>
      <c r="C118" s="5" t="s">
        <v>258</v>
      </c>
      <c r="D118" s="5" t="s">
        <v>259</v>
      </c>
      <c r="E118" s="22" t="s">
        <v>260</v>
      </c>
      <c r="F118" s="41" t="s">
        <v>261</v>
      </c>
      <c r="G118" s="32" t="s">
        <v>262</v>
      </c>
      <c r="H118" s="14" t="s">
        <v>254</v>
      </c>
      <c r="I118" s="60" t="s">
        <v>893</v>
      </c>
      <c r="J118" s="8" t="s">
        <v>156</v>
      </c>
      <c r="K118" s="10">
        <v>2025</v>
      </c>
      <c r="L118" s="11" t="s">
        <v>56</v>
      </c>
      <c r="M118" s="11" t="s">
        <v>47</v>
      </c>
      <c r="N118" s="11" t="s">
        <v>47</v>
      </c>
      <c r="O118" s="12">
        <v>1</v>
      </c>
      <c r="P118" s="4" t="s">
        <v>263</v>
      </c>
      <c r="Q118" s="13"/>
      <c r="R118" s="14" t="s">
        <v>48</v>
      </c>
      <c r="S118" s="15" t="s">
        <v>49</v>
      </c>
      <c r="T118" s="15" t="s">
        <v>50</v>
      </c>
      <c r="U118" s="25" t="s">
        <v>160</v>
      </c>
      <c r="V118" s="32" t="s">
        <v>256</v>
      </c>
      <c r="W118" s="32" t="s">
        <v>162</v>
      </c>
      <c r="X118" s="32" t="s">
        <v>257</v>
      </c>
      <c r="Y118" s="16" t="s">
        <v>55</v>
      </c>
      <c r="Z118" s="21">
        <f>250+1870+500+1677+127</f>
        <v>4424</v>
      </c>
      <c r="AA118" s="55"/>
      <c r="AB118" s="55"/>
      <c r="AC118" s="55">
        <v>1</v>
      </c>
      <c r="AD118" s="18">
        <f t="shared" si="44"/>
        <v>1</v>
      </c>
      <c r="AE118" s="38"/>
      <c r="AF118" s="38"/>
      <c r="AG118" s="38">
        <v>4424</v>
      </c>
      <c r="AH118" s="38">
        <f t="shared" si="75"/>
        <v>4424</v>
      </c>
      <c r="AI118" s="38"/>
      <c r="AJ118" s="38"/>
      <c r="AK118" s="359"/>
      <c r="AL118" s="359"/>
      <c r="AM118" s="74">
        <f t="shared" si="88"/>
        <v>4424</v>
      </c>
      <c r="AN118" s="38"/>
      <c r="AO118" s="38"/>
      <c r="AP118" s="74">
        <f t="shared" si="89"/>
        <v>4424</v>
      </c>
      <c r="AQ118" s="38"/>
      <c r="AR118" s="38"/>
      <c r="AS118" s="74">
        <f t="shared" si="90"/>
        <v>4424</v>
      </c>
      <c r="AT118" s="38"/>
      <c r="AU118" s="38"/>
      <c r="AV118" s="38">
        <f t="shared" si="91"/>
        <v>4424</v>
      </c>
      <c r="AW118" s="38"/>
      <c r="AX118" s="38"/>
      <c r="AY118" s="38">
        <f t="shared" si="92"/>
        <v>4424</v>
      </c>
      <c r="AZ118" s="38"/>
      <c r="BA118" s="38"/>
      <c r="BB118" s="38">
        <f t="shared" si="93"/>
        <v>4424</v>
      </c>
      <c r="BC118" s="74"/>
      <c r="BD118" s="74"/>
      <c r="BE118" s="74">
        <f t="shared" si="54"/>
        <v>4424</v>
      </c>
      <c r="BF118" s="74"/>
      <c r="BG118" s="74"/>
      <c r="BH118" s="38">
        <f t="shared" si="55"/>
        <v>4424</v>
      </c>
      <c r="BI118" s="38"/>
      <c r="BJ118" s="38"/>
      <c r="BK118" s="38">
        <f t="shared" si="56"/>
        <v>4424</v>
      </c>
      <c r="BL118" s="337" t="s">
        <v>56</v>
      </c>
      <c r="BM118" s="37"/>
      <c r="BN118" s="131"/>
      <c r="BO118" s="34"/>
      <c r="BP118" s="34"/>
      <c r="BQ118" s="34"/>
      <c r="BR118" s="34"/>
      <c r="BS118" s="34"/>
      <c r="BT118" s="34"/>
      <c r="BU118" s="34"/>
      <c r="BV118" s="34"/>
      <c r="BW118" s="95"/>
      <c r="BX118" s="95"/>
      <c r="BY118" s="95"/>
      <c r="BZ118" s="95"/>
      <c r="CA118" s="95"/>
      <c r="CB118" s="95"/>
      <c r="CC118" s="95"/>
      <c r="CD118" s="96"/>
      <c r="CE118" s="67"/>
      <c r="CF118" s="781">
        <f t="shared" si="53"/>
        <v>0</v>
      </c>
      <c r="CG118" s="420" t="s">
        <v>974</v>
      </c>
      <c r="CH118" s="134"/>
      <c r="CI118" s="412"/>
      <c r="CJ118" s="412"/>
      <c r="CK118" s="62">
        <v>45717</v>
      </c>
      <c r="CL118" s="62">
        <v>45717</v>
      </c>
      <c r="CM118" s="63" t="s">
        <v>359</v>
      </c>
      <c r="CN118" s="8" t="s">
        <v>45</v>
      </c>
      <c r="CO118" s="8" t="s">
        <v>367</v>
      </c>
      <c r="CP118" s="66" t="str">
        <f t="shared" ref="CP118:CP125" si="99">+CM118</f>
        <v>BETANCOURT CHAMORRO JOHN JAIRO</v>
      </c>
      <c r="CQ118" s="75" t="s">
        <v>473</v>
      </c>
      <c r="CR118" s="75" t="s">
        <v>470</v>
      </c>
    </row>
    <row r="119" spans="1:96" s="19" customFormat="1" ht="155.69999999999999" customHeight="1" x14ac:dyDescent="0.3">
      <c r="A119" s="4" t="s">
        <v>899</v>
      </c>
      <c r="B119" s="5" t="s">
        <v>248</v>
      </c>
      <c r="C119" s="5" t="s">
        <v>258</v>
      </c>
      <c r="D119" s="5" t="s">
        <v>259</v>
      </c>
      <c r="E119" s="22" t="s">
        <v>264</v>
      </c>
      <c r="F119" s="40" t="s">
        <v>261</v>
      </c>
      <c r="G119" s="32" t="s">
        <v>262</v>
      </c>
      <c r="H119" s="14" t="s">
        <v>254</v>
      </c>
      <c r="I119" s="9" t="s">
        <v>893</v>
      </c>
      <c r="J119" s="8" t="s">
        <v>156</v>
      </c>
      <c r="K119" s="10">
        <v>2025</v>
      </c>
      <c r="L119" s="11" t="s">
        <v>56</v>
      </c>
      <c r="M119" s="11" t="s">
        <v>47</v>
      </c>
      <c r="N119" s="11" t="s">
        <v>47</v>
      </c>
      <c r="O119" s="12">
        <v>1</v>
      </c>
      <c r="P119" s="4" t="s">
        <v>263</v>
      </c>
      <c r="Q119" s="13"/>
      <c r="R119" s="14" t="s">
        <v>48</v>
      </c>
      <c r="S119" s="15" t="s">
        <v>49</v>
      </c>
      <c r="T119" s="15" t="s">
        <v>50</v>
      </c>
      <c r="U119" s="25" t="s">
        <v>160</v>
      </c>
      <c r="V119" s="32" t="s">
        <v>256</v>
      </c>
      <c r="W119" s="32" t="s">
        <v>162</v>
      </c>
      <c r="X119" s="32" t="s">
        <v>257</v>
      </c>
      <c r="Y119" s="16" t="s">
        <v>55</v>
      </c>
      <c r="Z119" s="21">
        <f>1180+2360+360+300</f>
        <v>4200</v>
      </c>
      <c r="AA119" s="55"/>
      <c r="AB119" s="55"/>
      <c r="AC119" s="55">
        <v>1</v>
      </c>
      <c r="AD119" s="18">
        <f t="shared" si="44"/>
        <v>1</v>
      </c>
      <c r="AE119" s="38"/>
      <c r="AF119" s="38"/>
      <c r="AG119" s="38">
        <v>4200</v>
      </c>
      <c r="AH119" s="38">
        <f t="shared" si="75"/>
        <v>4200</v>
      </c>
      <c r="AI119" s="38"/>
      <c r="AJ119" s="38"/>
      <c r="AK119" s="359"/>
      <c r="AL119" s="359"/>
      <c r="AM119" s="74">
        <f t="shared" si="88"/>
        <v>4200</v>
      </c>
      <c r="AN119" s="38"/>
      <c r="AO119" s="38"/>
      <c r="AP119" s="74">
        <f t="shared" si="89"/>
        <v>4200</v>
      </c>
      <c r="AQ119" s="38"/>
      <c r="AR119" s="38"/>
      <c r="AS119" s="74">
        <f t="shared" si="90"/>
        <v>4200</v>
      </c>
      <c r="AT119" s="38"/>
      <c r="AU119" s="38"/>
      <c r="AV119" s="38">
        <f t="shared" si="91"/>
        <v>4200</v>
      </c>
      <c r="AW119" s="38"/>
      <c r="AX119" s="38"/>
      <c r="AY119" s="38">
        <f t="shared" si="92"/>
        <v>4200</v>
      </c>
      <c r="AZ119" s="38"/>
      <c r="BA119" s="38"/>
      <c r="BB119" s="38">
        <f t="shared" si="93"/>
        <v>4200</v>
      </c>
      <c r="BC119" s="74"/>
      <c r="BD119" s="74"/>
      <c r="BE119" s="74">
        <f t="shared" si="54"/>
        <v>4200</v>
      </c>
      <c r="BF119" s="74"/>
      <c r="BG119" s="74"/>
      <c r="BH119" s="38">
        <f t="shared" si="55"/>
        <v>4200</v>
      </c>
      <c r="BI119" s="38"/>
      <c r="BJ119" s="38"/>
      <c r="BK119" s="38">
        <f t="shared" si="56"/>
        <v>4200</v>
      </c>
      <c r="BL119" s="337" t="s">
        <v>56</v>
      </c>
      <c r="BM119" s="37"/>
      <c r="BN119" s="131"/>
      <c r="BO119" s="34"/>
      <c r="BP119" s="34"/>
      <c r="BQ119" s="34"/>
      <c r="BR119" s="34"/>
      <c r="BS119" s="34"/>
      <c r="BT119" s="34"/>
      <c r="BU119" s="34"/>
      <c r="BV119" s="34"/>
      <c r="BW119" s="95"/>
      <c r="BX119" s="95"/>
      <c r="BY119" s="95"/>
      <c r="BZ119" s="95"/>
      <c r="CA119" s="95"/>
      <c r="CB119" s="95"/>
      <c r="CC119" s="95"/>
      <c r="CD119" s="96"/>
      <c r="CE119" s="67"/>
      <c r="CF119" s="781">
        <f t="shared" si="53"/>
        <v>0</v>
      </c>
      <c r="CG119" s="420" t="s">
        <v>974</v>
      </c>
      <c r="CH119" s="134"/>
      <c r="CI119" s="412"/>
      <c r="CJ119" s="412"/>
      <c r="CK119" s="62">
        <v>45717</v>
      </c>
      <c r="CL119" s="62">
        <v>45717</v>
      </c>
      <c r="CM119" s="63" t="s">
        <v>359</v>
      </c>
      <c r="CN119" s="8" t="s">
        <v>45</v>
      </c>
      <c r="CO119" s="8" t="s">
        <v>367</v>
      </c>
      <c r="CP119" s="66" t="str">
        <f t="shared" si="99"/>
        <v>BETANCOURT CHAMORRO JOHN JAIRO</v>
      </c>
      <c r="CQ119" s="75" t="s">
        <v>473</v>
      </c>
      <c r="CR119" s="75" t="s">
        <v>470</v>
      </c>
    </row>
    <row r="120" spans="1:96" s="19" customFormat="1" ht="155.69999999999999" customHeight="1" x14ac:dyDescent="0.3">
      <c r="A120" s="4" t="s">
        <v>899</v>
      </c>
      <c r="B120" s="5" t="s">
        <v>248</v>
      </c>
      <c r="C120" s="5" t="s">
        <v>258</v>
      </c>
      <c r="D120" s="5" t="s">
        <v>259</v>
      </c>
      <c r="E120" s="22" t="s">
        <v>265</v>
      </c>
      <c r="F120" s="40" t="s">
        <v>266</v>
      </c>
      <c r="G120" s="32" t="s">
        <v>267</v>
      </c>
      <c r="H120" s="14" t="s">
        <v>254</v>
      </c>
      <c r="I120" s="9" t="s">
        <v>893</v>
      </c>
      <c r="J120" s="8" t="s">
        <v>156</v>
      </c>
      <c r="K120" s="10">
        <v>2025</v>
      </c>
      <c r="L120" s="11" t="s">
        <v>56</v>
      </c>
      <c r="M120" s="11" t="s">
        <v>47</v>
      </c>
      <c r="N120" s="11" t="s">
        <v>47</v>
      </c>
      <c r="O120" s="12">
        <v>1</v>
      </c>
      <c r="P120" s="4" t="s">
        <v>263</v>
      </c>
      <c r="Q120" s="13"/>
      <c r="R120" s="14" t="s">
        <v>48</v>
      </c>
      <c r="S120" s="15" t="s">
        <v>49</v>
      </c>
      <c r="T120" s="15" t="s">
        <v>50</v>
      </c>
      <c r="U120" s="25" t="s">
        <v>160</v>
      </c>
      <c r="V120" s="32" t="s">
        <v>256</v>
      </c>
      <c r="W120" s="32" t="s">
        <v>162</v>
      </c>
      <c r="X120" s="32" t="s">
        <v>257</v>
      </c>
      <c r="Y120" s="16" t="s">
        <v>55</v>
      </c>
      <c r="Z120" s="21">
        <v>1165</v>
      </c>
      <c r="AA120" s="55"/>
      <c r="AB120" s="55"/>
      <c r="AC120" s="55">
        <v>1</v>
      </c>
      <c r="AD120" s="18">
        <f t="shared" si="44"/>
        <v>1</v>
      </c>
      <c r="AE120" s="38"/>
      <c r="AF120" s="38"/>
      <c r="AG120" s="38">
        <f>+BK120</f>
        <v>0</v>
      </c>
      <c r="AH120" s="38">
        <f t="shared" si="75"/>
        <v>0</v>
      </c>
      <c r="AI120" s="38"/>
      <c r="AJ120" s="38"/>
      <c r="AK120" s="359"/>
      <c r="AL120" s="359"/>
      <c r="AM120" s="74">
        <f t="shared" si="88"/>
        <v>1165</v>
      </c>
      <c r="AN120" s="38"/>
      <c r="AO120" s="38"/>
      <c r="AP120" s="74">
        <f t="shared" si="89"/>
        <v>1165</v>
      </c>
      <c r="AQ120" s="38"/>
      <c r="AR120" s="38"/>
      <c r="AS120" s="74">
        <f t="shared" si="90"/>
        <v>1165</v>
      </c>
      <c r="AT120" s="38"/>
      <c r="AU120" s="38"/>
      <c r="AV120" s="38">
        <f t="shared" si="91"/>
        <v>1165</v>
      </c>
      <c r="AW120" s="38"/>
      <c r="AX120" s="38"/>
      <c r="AY120" s="38">
        <f t="shared" si="92"/>
        <v>1165</v>
      </c>
      <c r="AZ120" s="38"/>
      <c r="BA120" s="38"/>
      <c r="BB120" s="38">
        <f t="shared" si="93"/>
        <v>1165</v>
      </c>
      <c r="BC120" s="74"/>
      <c r="BD120" s="74">
        <v>1165</v>
      </c>
      <c r="BE120" s="74">
        <f t="shared" si="54"/>
        <v>0</v>
      </c>
      <c r="BF120" s="74"/>
      <c r="BG120" s="74"/>
      <c r="BH120" s="38">
        <f t="shared" si="55"/>
        <v>0</v>
      </c>
      <c r="BI120" s="38"/>
      <c r="BJ120" s="38"/>
      <c r="BK120" s="38">
        <f t="shared" si="56"/>
        <v>0</v>
      </c>
      <c r="BL120" s="337" t="s">
        <v>56</v>
      </c>
      <c r="BM120" s="37"/>
      <c r="BN120" s="131"/>
      <c r="BO120" s="34"/>
      <c r="BP120" s="34"/>
      <c r="BQ120" s="34"/>
      <c r="BR120" s="34"/>
      <c r="BS120" s="34"/>
      <c r="BT120" s="34"/>
      <c r="BU120" s="34"/>
      <c r="BV120" s="34"/>
      <c r="BW120" s="95"/>
      <c r="BX120" s="95"/>
      <c r="BY120" s="95"/>
      <c r="BZ120" s="95"/>
      <c r="CA120" s="95"/>
      <c r="CB120" s="95"/>
      <c r="CC120" s="95"/>
      <c r="CD120" s="96"/>
      <c r="CE120" s="67"/>
      <c r="CF120" s="781">
        <f t="shared" si="53"/>
        <v>0</v>
      </c>
      <c r="CG120" s="420" t="s">
        <v>971</v>
      </c>
      <c r="CH120" s="134"/>
      <c r="CI120" s="412"/>
      <c r="CJ120" s="412"/>
      <c r="CK120" s="62">
        <v>45931</v>
      </c>
      <c r="CL120" s="62">
        <v>45945</v>
      </c>
      <c r="CM120" s="63" t="s">
        <v>359</v>
      </c>
      <c r="CN120" s="8" t="s">
        <v>45</v>
      </c>
      <c r="CO120" s="8" t="s">
        <v>368</v>
      </c>
      <c r="CP120" s="66" t="str">
        <f t="shared" si="99"/>
        <v>BETANCOURT CHAMORRO JOHN JAIRO</v>
      </c>
      <c r="CQ120" s="9"/>
      <c r="CR120" s="9"/>
    </row>
    <row r="121" spans="1:96" s="19" customFormat="1" ht="155.69999999999999" customHeight="1" x14ac:dyDescent="0.3">
      <c r="A121" s="4" t="s">
        <v>899</v>
      </c>
      <c r="B121" s="5" t="s">
        <v>248</v>
      </c>
      <c r="C121" s="5" t="s">
        <v>258</v>
      </c>
      <c r="D121" s="5" t="s">
        <v>259</v>
      </c>
      <c r="E121" s="22" t="s">
        <v>171</v>
      </c>
      <c r="F121" s="40" t="s">
        <v>268</v>
      </c>
      <c r="G121" s="32" t="s">
        <v>269</v>
      </c>
      <c r="H121" s="14" t="s">
        <v>254</v>
      </c>
      <c r="I121" s="9" t="s">
        <v>893</v>
      </c>
      <c r="J121" s="8" t="s">
        <v>156</v>
      </c>
      <c r="K121" s="10">
        <v>2025</v>
      </c>
      <c r="L121" s="11" t="s">
        <v>56</v>
      </c>
      <c r="M121" s="11" t="s">
        <v>47</v>
      </c>
      <c r="N121" s="11" t="s">
        <v>47</v>
      </c>
      <c r="O121" s="12">
        <v>3</v>
      </c>
      <c r="P121" s="4" t="s">
        <v>270</v>
      </c>
      <c r="Q121" s="13"/>
      <c r="R121" s="14" t="s">
        <v>48</v>
      </c>
      <c r="S121" s="15" t="s">
        <v>49</v>
      </c>
      <c r="T121" s="15" t="s">
        <v>50</v>
      </c>
      <c r="U121" s="25" t="s">
        <v>160</v>
      </c>
      <c r="V121" s="32" t="s">
        <v>256</v>
      </c>
      <c r="W121" s="32" t="s">
        <v>162</v>
      </c>
      <c r="X121" s="32" t="s">
        <v>257</v>
      </c>
      <c r="Y121" s="16" t="s">
        <v>55</v>
      </c>
      <c r="Z121" s="21">
        <v>2090</v>
      </c>
      <c r="AA121" s="55"/>
      <c r="AB121" s="55"/>
      <c r="AC121" s="55">
        <v>1</v>
      </c>
      <c r="AD121" s="18">
        <f t="shared" si="44"/>
        <v>1</v>
      </c>
      <c r="AE121" s="38"/>
      <c r="AF121" s="38"/>
      <c r="AG121" s="38">
        <f>+BK121</f>
        <v>0</v>
      </c>
      <c r="AH121" s="38">
        <f t="shared" si="75"/>
        <v>0</v>
      </c>
      <c r="AI121" s="38"/>
      <c r="AJ121" s="38"/>
      <c r="AK121" s="359"/>
      <c r="AL121" s="359"/>
      <c r="AM121" s="74">
        <f t="shared" si="88"/>
        <v>2090</v>
      </c>
      <c r="AN121" s="38"/>
      <c r="AO121" s="38"/>
      <c r="AP121" s="74">
        <f t="shared" si="89"/>
        <v>2090</v>
      </c>
      <c r="AQ121" s="38"/>
      <c r="AR121" s="38"/>
      <c r="AS121" s="74">
        <f t="shared" si="90"/>
        <v>2090</v>
      </c>
      <c r="AT121" s="38"/>
      <c r="AU121" s="38"/>
      <c r="AV121" s="38">
        <f t="shared" si="91"/>
        <v>2090</v>
      </c>
      <c r="AW121" s="38"/>
      <c r="AX121" s="38"/>
      <c r="AY121" s="38">
        <f t="shared" si="92"/>
        <v>2090</v>
      </c>
      <c r="AZ121" s="38"/>
      <c r="BA121" s="38"/>
      <c r="BB121" s="38">
        <f t="shared" si="93"/>
        <v>2090</v>
      </c>
      <c r="BC121" s="74"/>
      <c r="BD121" s="74">
        <v>2090</v>
      </c>
      <c r="BE121" s="74">
        <f t="shared" si="54"/>
        <v>0</v>
      </c>
      <c r="BF121" s="74"/>
      <c r="BG121" s="74"/>
      <c r="BH121" s="38">
        <f t="shared" si="55"/>
        <v>0</v>
      </c>
      <c r="BI121" s="38"/>
      <c r="BJ121" s="38"/>
      <c r="BK121" s="38">
        <f t="shared" si="56"/>
        <v>0</v>
      </c>
      <c r="BL121" s="337" t="s">
        <v>56</v>
      </c>
      <c r="BM121" s="37"/>
      <c r="BN121" s="131"/>
      <c r="BO121" s="34"/>
      <c r="BP121" s="34"/>
      <c r="BQ121" s="34"/>
      <c r="BR121" s="34"/>
      <c r="BS121" s="34"/>
      <c r="BT121" s="34"/>
      <c r="BU121" s="34"/>
      <c r="BV121" s="34"/>
      <c r="BW121" s="95"/>
      <c r="BX121" s="95"/>
      <c r="BY121" s="95"/>
      <c r="BZ121" s="95"/>
      <c r="CA121" s="95"/>
      <c r="CB121" s="95"/>
      <c r="CC121" s="95"/>
      <c r="CD121" s="96"/>
      <c r="CE121" s="67"/>
      <c r="CF121" s="781">
        <f t="shared" si="53"/>
        <v>0</v>
      </c>
      <c r="CG121" s="420" t="s">
        <v>971</v>
      </c>
      <c r="CH121" s="134"/>
      <c r="CI121" s="412"/>
      <c r="CJ121" s="412"/>
      <c r="CK121" s="62">
        <v>45762</v>
      </c>
      <c r="CL121" s="62">
        <v>45779</v>
      </c>
      <c r="CM121" s="63" t="s">
        <v>359</v>
      </c>
      <c r="CN121" s="8" t="s">
        <v>45</v>
      </c>
      <c r="CO121" s="8" t="s">
        <v>369</v>
      </c>
      <c r="CP121" s="66" t="str">
        <f t="shared" si="99"/>
        <v>BETANCOURT CHAMORRO JOHN JAIRO</v>
      </c>
      <c r="CQ121" s="9"/>
      <c r="CR121" s="9"/>
    </row>
    <row r="122" spans="1:96" s="19" customFormat="1" ht="177" customHeight="1" x14ac:dyDescent="0.3">
      <c r="A122" s="4" t="s">
        <v>899</v>
      </c>
      <c r="B122" s="5" t="s">
        <v>248</v>
      </c>
      <c r="C122" s="332" t="s">
        <v>258</v>
      </c>
      <c r="D122" s="333" t="s">
        <v>259</v>
      </c>
      <c r="E122" s="22" t="s">
        <v>271</v>
      </c>
      <c r="F122" s="8" t="s">
        <v>272</v>
      </c>
      <c r="G122" s="15" t="s">
        <v>273</v>
      </c>
      <c r="H122" s="14" t="s">
        <v>254</v>
      </c>
      <c r="I122" s="9" t="s">
        <v>893</v>
      </c>
      <c r="J122" s="8" t="s">
        <v>156</v>
      </c>
      <c r="K122" s="10">
        <v>2025</v>
      </c>
      <c r="L122" s="11" t="s">
        <v>46</v>
      </c>
      <c r="M122" s="11" t="s">
        <v>47</v>
      </c>
      <c r="N122" s="11" t="s">
        <v>47</v>
      </c>
      <c r="O122" s="12">
        <v>2</v>
      </c>
      <c r="P122" s="4" t="s">
        <v>274</v>
      </c>
      <c r="Q122" s="13"/>
      <c r="R122" s="14" t="s">
        <v>48</v>
      </c>
      <c r="S122" s="15" t="s">
        <v>49</v>
      </c>
      <c r="T122" s="15" t="s">
        <v>50</v>
      </c>
      <c r="U122" s="7" t="s">
        <v>160</v>
      </c>
      <c r="V122" s="7" t="s">
        <v>161</v>
      </c>
      <c r="W122" s="7" t="s">
        <v>162</v>
      </c>
      <c r="X122" s="7" t="s">
        <v>163</v>
      </c>
      <c r="Y122" s="16" t="s">
        <v>55</v>
      </c>
      <c r="Z122" s="21">
        <v>9426</v>
      </c>
      <c r="AA122" s="55">
        <v>1</v>
      </c>
      <c r="AB122" s="55"/>
      <c r="AC122" s="55"/>
      <c r="AD122" s="18">
        <f t="shared" si="44"/>
        <v>1</v>
      </c>
      <c r="AE122" s="38"/>
      <c r="AF122" s="38"/>
      <c r="AG122" s="38">
        <f>+BK122</f>
        <v>0</v>
      </c>
      <c r="AH122" s="38">
        <f t="shared" si="75"/>
        <v>0</v>
      </c>
      <c r="AI122" s="38"/>
      <c r="AJ122" s="38"/>
      <c r="AK122" s="359"/>
      <c r="AL122" s="359"/>
      <c r="AM122" s="74">
        <f t="shared" si="88"/>
        <v>9426</v>
      </c>
      <c r="AN122" s="38"/>
      <c r="AO122" s="38"/>
      <c r="AP122" s="74">
        <f t="shared" si="89"/>
        <v>9426</v>
      </c>
      <c r="AQ122" s="38"/>
      <c r="AR122" s="38"/>
      <c r="AS122" s="74">
        <f t="shared" si="90"/>
        <v>9426</v>
      </c>
      <c r="AT122" s="38"/>
      <c r="AU122" s="38"/>
      <c r="AV122" s="38">
        <f t="shared" si="91"/>
        <v>9426</v>
      </c>
      <c r="AW122" s="38"/>
      <c r="AX122" s="38">
        <v>250.42</v>
      </c>
      <c r="AY122" s="38">
        <f t="shared" si="92"/>
        <v>9175.58</v>
      </c>
      <c r="AZ122" s="38"/>
      <c r="BA122" s="38"/>
      <c r="BB122" s="38">
        <f t="shared" si="93"/>
        <v>9175.58</v>
      </c>
      <c r="BC122" s="74"/>
      <c r="BD122" s="74">
        <v>9175.58</v>
      </c>
      <c r="BE122" s="74">
        <f t="shared" si="54"/>
        <v>0</v>
      </c>
      <c r="BF122" s="74"/>
      <c r="BG122" s="74"/>
      <c r="BH122" s="38">
        <f t="shared" si="55"/>
        <v>0</v>
      </c>
      <c r="BI122" s="38"/>
      <c r="BJ122" s="38"/>
      <c r="BK122" s="38">
        <f t="shared" si="56"/>
        <v>0</v>
      </c>
      <c r="BL122" s="337" t="s">
        <v>56</v>
      </c>
      <c r="BM122" s="37"/>
      <c r="BN122" s="131"/>
      <c r="BO122" s="34"/>
      <c r="BP122" s="34"/>
      <c r="BQ122" s="34"/>
      <c r="BR122" s="34"/>
      <c r="BS122" s="34"/>
      <c r="BT122" s="34"/>
      <c r="BU122" s="34"/>
      <c r="BV122" s="34"/>
      <c r="BW122" s="95"/>
      <c r="BX122" s="95"/>
      <c r="BY122" s="95"/>
      <c r="BZ122" s="95"/>
      <c r="CA122" s="95"/>
      <c r="CB122" s="95"/>
      <c r="CC122" s="95"/>
      <c r="CD122" s="96"/>
      <c r="CE122" s="67"/>
      <c r="CF122" s="781">
        <f t="shared" si="53"/>
        <v>0</v>
      </c>
      <c r="CG122" s="420" t="s">
        <v>971</v>
      </c>
      <c r="CH122" s="134"/>
      <c r="CI122" s="412"/>
      <c r="CJ122" s="412"/>
      <c r="CK122" s="62"/>
      <c r="CL122" s="62"/>
      <c r="CM122" s="63" t="s">
        <v>359</v>
      </c>
      <c r="CN122" s="8"/>
      <c r="CO122" s="8"/>
      <c r="CP122" s="66" t="str">
        <f t="shared" si="99"/>
        <v>BETANCOURT CHAMORRO JOHN JAIRO</v>
      </c>
      <c r="CQ122" s="9"/>
      <c r="CR122" s="75" t="s">
        <v>470</v>
      </c>
    </row>
    <row r="123" spans="1:96" s="19" customFormat="1" ht="107.7" customHeight="1" x14ac:dyDescent="0.3">
      <c r="A123" s="4" t="s">
        <v>899</v>
      </c>
      <c r="B123" s="5" t="s">
        <v>248</v>
      </c>
      <c r="C123" s="332" t="s">
        <v>258</v>
      </c>
      <c r="D123" s="333" t="s">
        <v>259</v>
      </c>
      <c r="E123" s="22" t="s">
        <v>171</v>
      </c>
      <c r="F123" s="8" t="s">
        <v>268</v>
      </c>
      <c r="G123" s="15" t="s">
        <v>273</v>
      </c>
      <c r="H123" s="14" t="s">
        <v>254</v>
      </c>
      <c r="I123" s="9" t="s">
        <v>893</v>
      </c>
      <c r="J123" s="8" t="s">
        <v>156</v>
      </c>
      <c r="K123" s="10">
        <v>2025</v>
      </c>
      <c r="L123" s="11" t="s">
        <v>46</v>
      </c>
      <c r="M123" s="11" t="s">
        <v>47</v>
      </c>
      <c r="N123" s="11" t="s">
        <v>47</v>
      </c>
      <c r="O123" s="12">
        <v>2</v>
      </c>
      <c r="P123" s="4" t="s">
        <v>274</v>
      </c>
      <c r="Q123" s="13"/>
      <c r="R123" s="14" t="s">
        <v>48</v>
      </c>
      <c r="S123" s="15" t="s">
        <v>49</v>
      </c>
      <c r="T123" s="15" t="s">
        <v>50</v>
      </c>
      <c r="U123" s="7" t="s">
        <v>160</v>
      </c>
      <c r="V123" s="7" t="s">
        <v>161</v>
      </c>
      <c r="W123" s="7" t="s">
        <v>162</v>
      </c>
      <c r="X123" s="7" t="s">
        <v>163</v>
      </c>
      <c r="Y123" s="16" t="s">
        <v>55</v>
      </c>
      <c r="Z123" s="21">
        <v>0</v>
      </c>
      <c r="AA123" s="55">
        <v>1</v>
      </c>
      <c r="AB123" s="55"/>
      <c r="AC123" s="55"/>
      <c r="AD123" s="18">
        <f>+AA123+AB123+AC123</f>
        <v>1</v>
      </c>
      <c r="AE123" s="38"/>
      <c r="AF123" s="38"/>
      <c r="AG123" s="38">
        <f>+BK123</f>
        <v>0</v>
      </c>
      <c r="AH123" s="38">
        <f t="shared" si="75"/>
        <v>0</v>
      </c>
      <c r="AI123" s="38"/>
      <c r="AJ123" s="38"/>
      <c r="AK123" s="359"/>
      <c r="AL123" s="359"/>
      <c r="AM123" s="74">
        <f>+Z123+AI123-AJ123+AK123-AL123</f>
        <v>0</v>
      </c>
      <c r="AN123" s="38"/>
      <c r="AO123" s="38"/>
      <c r="AP123" s="74">
        <f>+AM123+AN123-AO123</f>
        <v>0</v>
      </c>
      <c r="AQ123" s="38"/>
      <c r="AR123" s="38"/>
      <c r="AS123" s="74">
        <v>0</v>
      </c>
      <c r="AT123" s="38"/>
      <c r="AU123" s="38"/>
      <c r="AV123" s="38">
        <f>+AS123+AT123-AU123</f>
        <v>0</v>
      </c>
      <c r="AW123" s="38">
        <v>250.42</v>
      </c>
      <c r="AX123" s="38"/>
      <c r="AY123" s="38">
        <f t="shared" si="92"/>
        <v>250.42</v>
      </c>
      <c r="AZ123" s="38"/>
      <c r="BA123" s="38"/>
      <c r="BB123" s="38">
        <f t="shared" si="93"/>
        <v>250.42</v>
      </c>
      <c r="BC123" s="74"/>
      <c r="BD123" s="74">
        <v>250.42</v>
      </c>
      <c r="BE123" s="74">
        <f t="shared" si="54"/>
        <v>0</v>
      </c>
      <c r="BF123" s="74"/>
      <c r="BG123" s="74"/>
      <c r="BH123" s="38">
        <f t="shared" si="55"/>
        <v>0</v>
      </c>
      <c r="BI123" s="38"/>
      <c r="BJ123" s="38"/>
      <c r="BK123" s="38">
        <f t="shared" si="56"/>
        <v>0</v>
      </c>
      <c r="BL123" s="337" t="s">
        <v>56</v>
      </c>
      <c r="BM123" s="37"/>
      <c r="BN123" s="131"/>
      <c r="BO123" s="34"/>
      <c r="BP123" s="34"/>
      <c r="BQ123" s="34"/>
      <c r="BR123" s="34"/>
      <c r="BS123" s="34"/>
      <c r="BT123" s="34"/>
      <c r="BU123" s="34"/>
      <c r="BV123" s="34"/>
      <c r="BW123" s="95"/>
      <c r="BX123" s="95"/>
      <c r="BY123" s="95"/>
      <c r="BZ123" s="95"/>
      <c r="CA123" s="95"/>
      <c r="CB123" s="95"/>
      <c r="CC123" s="95"/>
      <c r="CD123" s="96"/>
      <c r="CE123" s="67"/>
      <c r="CF123" s="781">
        <f t="shared" si="53"/>
        <v>0</v>
      </c>
      <c r="CG123" s="420" t="s">
        <v>971</v>
      </c>
      <c r="CH123" s="134"/>
      <c r="CI123" s="412"/>
      <c r="CJ123" s="412"/>
      <c r="CK123" s="62"/>
      <c r="CL123" s="62"/>
      <c r="CM123" s="63" t="s">
        <v>359</v>
      </c>
      <c r="CN123" s="8"/>
      <c r="CO123" s="8"/>
      <c r="CP123" s="66" t="str">
        <f>+CM123</f>
        <v>BETANCOURT CHAMORRO JOHN JAIRO</v>
      </c>
      <c r="CQ123" s="9"/>
      <c r="CR123" s="75" t="s">
        <v>470</v>
      </c>
    </row>
    <row r="124" spans="1:96" s="19" customFormat="1" ht="133.94999999999999" customHeight="1" x14ac:dyDescent="0.3">
      <c r="A124" s="4" t="s">
        <v>899</v>
      </c>
      <c r="B124" s="5" t="s">
        <v>248</v>
      </c>
      <c r="C124" s="332" t="s">
        <v>258</v>
      </c>
      <c r="D124" s="333" t="s">
        <v>259</v>
      </c>
      <c r="E124" s="22" t="s">
        <v>275</v>
      </c>
      <c r="F124" s="40" t="s">
        <v>268</v>
      </c>
      <c r="G124" s="15" t="s">
        <v>273</v>
      </c>
      <c r="H124" s="14" t="s">
        <v>254</v>
      </c>
      <c r="I124" s="9" t="s">
        <v>893</v>
      </c>
      <c r="J124" s="8" t="s">
        <v>156</v>
      </c>
      <c r="K124" s="10">
        <v>2025</v>
      </c>
      <c r="L124" s="11" t="s">
        <v>46</v>
      </c>
      <c r="M124" s="11" t="s">
        <v>47</v>
      </c>
      <c r="N124" s="11" t="s">
        <v>47</v>
      </c>
      <c r="O124" s="12">
        <v>2</v>
      </c>
      <c r="P124" s="4" t="s">
        <v>274</v>
      </c>
      <c r="Q124" s="13"/>
      <c r="R124" s="14" t="s">
        <v>48</v>
      </c>
      <c r="S124" s="15" t="s">
        <v>49</v>
      </c>
      <c r="T124" s="15" t="s">
        <v>50</v>
      </c>
      <c r="U124" s="7" t="s">
        <v>160</v>
      </c>
      <c r="V124" s="7" t="s">
        <v>161</v>
      </c>
      <c r="W124" s="7" t="s">
        <v>162</v>
      </c>
      <c r="X124" s="7" t="s">
        <v>163</v>
      </c>
      <c r="Y124" s="16" t="s">
        <v>55</v>
      </c>
      <c r="Z124" s="21">
        <v>166</v>
      </c>
      <c r="AA124" s="55">
        <v>1</v>
      </c>
      <c r="AB124" s="55"/>
      <c r="AC124" s="55"/>
      <c r="AD124" s="18">
        <f t="shared" si="44"/>
        <v>1</v>
      </c>
      <c r="AE124" s="38"/>
      <c r="AF124" s="38"/>
      <c r="AG124" s="38">
        <f>+BK124</f>
        <v>0</v>
      </c>
      <c r="AH124" s="38">
        <f t="shared" si="75"/>
        <v>0</v>
      </c>
      <c r="AI124" s="38"/>
      <c r="AJ124" s="38"/>
      <c r="AK124" s="359"/>
      <c r="AL124" s="359"/>
      <c r="AM124" s="74">
        <f t="shared" si="88"/>
        <v>166</v>
      </c>
      <c r="AN124" s="38"/>
      <c r="AO124" s="38"/>
      <c r="AP124" s="74">
        <f t="shared" si="89"/>
        <v>166</v>
      </c>
      <c r="AQ124" s="38"/>
      <c r="AR124" s="38"/>
      <c r="AS124" s="74">
        <f t="shared" si="90"/>
        <v>166</v>
      </c>
      <c r="AT124" s="38"/>
      <c r="AU124" s="38"/>
      <c r="AV124" s="38">
        <f t="shared" si="91"/>
        <v>166</v>
      </c>
      <c r="AW124" s="38"/>
      <c r="AX124" s="38"/>
      <c r="AY124" s="38">
        <f t="shared" si="92"/>
        <v>166</v>
      </c>
      <c r="AZ124" s="38"/>
      <c r="BA124" s="38"/>
      <c r="BB124" s="38">
        <f t="shared" si="93"/>
        <v>166</v>
      </c>
      <c r="BC124" s="74"/>
      <c r="BD124" s="74">
        <v>166</v>
      </c>
      <c r="BE124" s="74">
        <f t="shared" si="54"/>
        <v>0</v>
      </c>
      <c r="BF124" s="74"/>
      <c r="BG124" s="74"/>
      <c r="BH124" s="38">
        <f t="shared" si="55"/>
        <v>0</v>
      </c>
      <c r="BI124" s="38"/>
      <c r="BJ124" s="38"/>
      <c r="BK124" s="38">
        <f t="shared" si="56"/>
        <v>0</v>
      </c>
      <c r="BL124" s="337" t="s">
        <v>56</v>
      </c>
      <c r="BM124" s="37"/>
      <c r="BN124" s="131"/>
      <c r="BO124" s="34"/>
      <c r="BP124" s="34"/>
      <c r="BQ124" s="34"/>
      <c r="BR124" s="34"/>
      <c r="BS124" s="34"/>
      <c r="BT124" s="34"/>
      <c r="BU124" s="34"/>
      <c r="BV124" s="34"/>
      <c r="BW124" s="95"/>
      <c r="BX124" s="95"/>
      <c r="BY124" s="95"/>
      <c r="BZ124" s="95"/>
      <c r="CA124" s="95"/>
      <c r="CB124" s="95"/>
      <c r="CC124" s="95"/>
      <c r="CD124" s="96"/>
      <c r="CE124" s="67"/>
      <c r="CF124" s="781">
        <f t="shared" si="53"/>
        <v>0</v>
      </c>
      <c r="CG124" s="420" t="s">
        <v>971</v>
      </c>
      <c r="CH124" s="134"/>
      <c r="CI124" s="412"/>
      <c r="CJ124" s="412"/>
      <c r="CK124" s="62">
        <v>45698</v>
      </c>
      <c r="CL124" s="62">
        <v>45708</v>
      </c>
      <c r="CM124" s="63" t="s">
        <v>361</v>
      </c>
      <c r="CN124" s="8" t="s">
        <v>359</v>
      </c>
      <c r="CO124" s="8" t="s">
        <v>363</v>
      </c>
      <c r="CP124" s="66" t="str">
        <f t="shared" si="99"/>
        <v>SARABIA RODRIGUEZ EDWIN DAVID</v>
      </c>
      <c r="CQ124" s="9"/>
      <c r="CR124" s="75" t="s">
        <v>470</v>
      </c>
    </row>
    <row r="125" spans="1:96" s="19" customFormat="1" ht="145.94999999999999" customHeight="1" x14ac:dyDescent="0.3">
      <c r="A125" s="4" t="s">
        <v>899</v>
      </c>
      <c r="B125" s="8" t="s">
        <v>276</v>
      </c>
      <c r="C125" s="8" t="s">
        <v>277</v>
      </c>
      <c r="D125" s="8" t="s">
        <v>278</v>
      </c>
      <c r="E125" s="22" t="s">
        <v>279</v>
      </c>
      <c r="F125" s="8" t="s">
        <v>280</v>
      </c>
      <c r="G125" s="32" t="s">
        <v>281</v>
      </c>
      <c r="H125" s="8" t="s">
        <v>282</v>
      </c>
      <c r="I125" s="330" t="s">
        <v>894</v>
      </c>
      <c r="J125" s="9" t="s">
        <v>156</v>
      </c>
      <c r="K125" s="10">
        <v>2025</v>
      </c>
      <c r="L125" s="11" t="s">
        <v>46</v>
      </c>
      <c r="M125" s="11" t="s">
        <v>47</v>
      </c>
      <c r="N125" s="11" t="s">
        <v>47</v>
      </c>
      <c r="O125" s="12" t="s">
        <v>283</v>
      </c>
      <c r="P125" s="4" t="s">
        <v>284</v>
      </c>
      <c r="Q125" s="13"/>
      <c r="R125" s="14" t="s">
        <v>48</v>
      </c>
      <c r="S125" s="15" t="s">
        <v>49</v>
      </c>
      <c r="T125" s="15" t="s">
        <v>50</v>
      </c>
      <c r="U125" s="7" t="s">
        <v>160</v>
      </c>
      <c r="V125" s="7" t="s">
        <v>161</v>
      </c>
      <c r="W125" s="7" t="s">
        <v>162</v>
      </c>
      <c r="X125" s="7" t="s">
        <v>163</v>
      </c>
      <c r="Y125" s="16" t="s">
        <v>55</v>
      </c>
      <c r="Z125" s="21">
        <v>1587.55</v>
      </c>
      <c r="AA125" s="55"/>
      <c r="AB125" s="55">
        <v>1</v>
      </c>
      <c r="AC125" s="55"/>
      <c r="AD125" s="18">
        <f t="shared" si="44"/>
        <v>1</v>
      </c>
      <c r="AE125" s="38"/>
      <c r="AF125" s="38">
        <v>1214.76</v>
      </c>
      <c r="AG125" s="38"/>
      <c r="AH125" s="38">
        <f t="shared" si="75"/>
        <v>1214.76</v>
      </c>
      <c r="AI125" s="38"/>
      <c r="AJ125" s="38"/>
      <c r="AK125" s="359"/>
      <c r="AL125" s="359"/>
      <c r="AM125" s="74">
        <f t="shared" si="88"/>
        <v>1587.55</v>
      </c>
      <c r="AN125" s="38"/>
      <c r="AO125" s="38"/>
      <c r="AP125" s="74">
        <f t="shared" si="89"/>
        <v>1587.55</v>
      </c>
      <c r="AQ125" s="38"/>
      <c r="AR125" s="38"/>
      <c r="AS125" s="74">
        <f t="shared" si="90"/>
        <v>1587.55</v>
      </c>
      <c r="AT125" s="38"/>
      <c r="AU125" s="38"/>
      <c r="AV125" s="38">
        <f t="shared" si="91"/>
        <v>1587.55</v>
      </c>
      <c r="AW125" s="38"/>
      <c r="AX125" s="38"/>
      <c r="AY125" s="38">
        <f t="shared" si="92"/>
        <v>1587.55</v>
      </c>
      <c r="AZ125" s="38"/>
      <c r="BA125" s="38"/>
      <c r="BB125" s="38">
        <f t="shared" si="93"/>
        <v>1587.55</v>
      </c>
      <c r="BC125" s="74"/>
      <c r="BD125" s="74">
        <v>372.79</v>
      </c>
      <c r="BE125" s="74">
        <f t="shared" si="54"/>
        <v>1214.76</v>
      </c>
      <c r="BF125" s="74"/>
      <c r="BG125" s="74"/>
      <c r="BH125" s="38">
        <f t="shared" si="55"/>
        <v>1214.76</v>
      </c>
      <c r="BI125" s="38"/>
      <c r="BJ125" s="38"/>
      <c r="BK125" s="38">
        <f t="shared" si="56"/>
        <v>1214.76</v>
      </c>
      <c r="BL125" s="337" t="s">
        <v>56</v>
      </c>
      <c r="BM125" s="37"/>
      <c r="BN125" s="131"/>
      <c r="BO125" s="32" t="s">
        <v>461</v>
      </c>
      <c r="BP125" s="67">
        <v>1214.76</v>
      </c>
      <c r="BQ125" s="67"/>
      <c r="BR125" s="34"/>
      <c r="BS125" s="34"/>
      <c r="BT125" s="34"/>
      <c r="BU125" s="34"/>
      <c r="BV125" s="34"/>
      <c r="BW125" s="34" t="s">
        <v>437</v>
      </c>
      <c r="BX125" s="67">
        <f>1092.56+122.2</f>
        <v>1214.76</v>
      </c>
      <c r="BY125" s="95"/>
      <c r="BZ125" s="95"/>
      <c r="CA125" s="95"/>
      <c r="CB125" s="95"/>
      <c r="CC125" s="34" t="s">
        <v>462</v>
      </c>
      <c r="CD125" s="67">
        <v>1214.76</v>
      </c>
      <c r="CE125" s="67">
        <v>1214.76</v>
      </c>
      <c r="CF125" s="781">
        <f t="shared" si="53"/>
        <v>0</v>
      </c>
      <c r="CG125" s="133" t="s">
        <v>544</v>
      </c>
      <c r="CH125" s="133" t="s">
        <v>544</v>
      </c>
      <c r="CI125" s="133" t="s">
        <v>544</v>
      </c>
      <c r="CJ125" s="133"/>
      <c r="CK125" s="61" t="s">
        <v>472</v>
      </c>
      <c r="CL125" s="61" t="s">
        <v>472</v>
      </c>
      <c r="CM125" s="61" t="s">
        <v>370</v>
      </c>
      <c r="CN125" s="8" t="s">
        <v>45</v>
      </c>
      <c r="CO125" s="61" t="s">
        <v>341</v>
      </c>
      <c r="CP125" s="61" t="str">
        <f t="shared" si="99"/>
        <v>VILLACIS VILLACRES FANNY DANIELA</v>
      </c>
      <c r="CQ125" s="9" t="s">
        <v>469</v>
      </c>
      <c r="CR125" s="9" t="s">
        <v>440</v>
      </c>
    </row>
    <row r="126" spans="1:96" s="19" customFormat="1" ht="189" customHeight="1" x14ac:dyDescent="0.3">
      <c r="A126" s="4" t="s">
        <v>899</v>
      </c>
      <c r="B126" s="8" t="s">
        <v>276</v>
      </c>
      <c r="C126" s="8" t="s">
        <v>277</v>
      </c>
      <c r="D126" s="8" t="s">
        <v>278</v>
      </c>
      <c r="E126" s="22" t="s">
        <v>182</v>
      </c>
      <c r="F126" s="40" t="s">
        <v>285</v>
      </c>
      <c r="G126" s="32" t="s">
        <v>286</v>
      </c>
      <c r="H126" s="8" t="s">
        <v>282</v>
      </c>
      <c r="I126" s="14" t="s">
        <v>894</v>
      </c>
      <c r="J126" s="9" t="s">
        <v>96</v>
      </c>
      <c r="K126" s="10">
        <v>2025</v>
      </c>
      <c r="L126" s="11" t="s">
        <v>46</v>
      </c>
      <c r="M126" s="11" t="s">
        <v>47</v>
      </c>
      <c r="N126" s="11" t="s">
        <v>47</v>
      </c>
      <c r="O126" s="12">
        <v>10</v>
      </c>
      <c r="P126" s="4" t="s">
        <v>185</v>
      </c>
      <c r="Q126" s="13"/>
      <c r="R126" s="14" t="s">
        <v>48</v>
      </c>
      <c r="S126" s="15" t="s">
        <v>49</v>
      </c>
      <c r="T126" s="15" t="s">
        <v>50</v>
      </c>
      <c r="U126" s="7" t="s">
        <v>160</v>
      </c>
      <c r="V126" s="7" t="s">
        <v>161</v>
      </c>
      <c r="W126" s="7" t="s">
        <v>162</v>
      </c>
      <c r="X126" s="7" t="s">
        <v>163</v>
      </c>
      <c r="Y126" s="16" t="s">
        <v>55</v>
      </c>
      <c r="Z126" s="21">
        <v>560</v>
      </c>
      <c r="AA126" s="55"/>
      <c r="AB126" s="55"/>
      <c r="AC126" s="55">
        <v>1</v>
      </c>
      <c r="AD126" s="18">
        <f t="shared" si="44"/>
        <v>1</v>
      </c>
      <c r="AE126" s="38"/>
      <c r="AF126" s="38"/>
      <c r="AG126" s="38">
        <v>560</v>
      </c>
      <c r="AH126" s="38">
        <f t="shared" si="75"/>
        <v>560</v>
      </c>
      <c r="AI126" s="38"/>
      <c r="AJ126" s="38"/>
      <c r="AK126" s="359"/>
      <c r="AL126" s="359"/>
      <c r="AM126" s="74">
        <f t="shared" si="88"/>
        <v>560</v>
      </c>
      <c r="AN126" s="38"/>
      <c r="AO126" s="38"/>
      <c r="AP126" s="74">
        <f t="shared" si="89"/>
        <v>560</v>
      </c>
      <c r="AQ126" s="38"/>
      <c r="AR126" s="38"/>
      <c r="AS126" s="74">
        <f t="shared" si="90"/>
        <v>560</v>
      </c>
      <c r="AT126" s="38"/>
      <c r="AU126" s="38"/>
      <c r="AV126" s="38">
        <f t="shared" si="91"/>
        <v>560</v>
      </c>
      <c r="AW126" s="38"/>
      <c r="AX126" s="38"/>
      <c r="AY126" s="38">
        <f t="shared" si="92"/>
        <v>560</v>
      </c>
      <c r="AZ126" s="38"/>
      <c r="BA126" s="38"/>
      <c r="BB126" s="38">
        <f t="shared" si="93"/>
        <v>560</v>
      </c>
      <c r="BC126" s="74"/>
      <c r="BD126" s="74"/>
      <c r="BE126" s="74">
        <f t="shared" si="54"/>
        <v>560</v>
      </c>
      <c r="BF126" s="74"/>
      <c r="BG126" s="74"/>
      <c r="BH126" s="38">
        <f t="shared" si="55"/>
        <v>560</v>
      </c>
      <c r="BI126" s="38"/>
      <c r="BJ126" s="38"/>
      <c r="BK126" s="38">
        <f t="shared" si="56"/>
        <v>560</v>
      </c>
      <c r="BL126" s="337" t="s">
        <v>177</v>
      </c>
      <c r="BM126" s="38">
        <v>784</v>
      </c>
      <c r="BN126" s="337"/>
      <c r="BO126" s="34"/>
      <c r="BP126" s="34"/>
      <c r="BQ126" s="34"/>
      <c r="BR126" s="34"/>
      <c r="BS126" s="34"/>
      <c r="BT126" s="34"/>
      <c r="BU126" s="34"/>
      <c r="BV126" s="34"/>
      <c r="BW126" s="95"/>
      <c r="BX126" s="95"/>
      <c r="BY126" s="95"/>
      <c r="BZ126" s="95"/>
      <c r="CA126" s="95"/>
      <c r="CB126" s="95"/>
      <c r="CC126" s="95"/>
      <c r="CD126" s="96"/>
      <c r="CE126" s="67"/>
      <c r="CF126" s="781">
        <f t="shared" si="53"/>
        <v>0</v>
      </c>
      <c r="CG126" s="135" t="s">
        <v>467</v>
      </c>
      <c r="CH126" s="413">
        <v>0.3</v>
      </c>
      <c r="CI126" s="410">
        <v>45954</v>
      </c>
      <c r="CJ126" s="410"/>
      <c r="CK126" s="61" t="s">
        <v>371</v>
      </c>
      <c r="CL126" s="61" t="s">
        <v>371</v>
      </c>
      <c r="CM126" s="61" t="s">
        <v>370</v>
      </c>
      <c r="CN126" s="8" t="s">
        <v>45</v>
      </c>
      <c r="CO126" s="61" t="s">
        <v>372</v>
      </c>
      <c r="CP126" s="61" t="str">
        <f>+CO126</f>
        <v>REINOSO GALVEZ JOFFRE ISAIAS</v>
      </c>
      <c r="CQ126" s="9"/>
      <c r="CR126" s="9"/>
    </row>
    <row r="127" spans="1:96" s="19" customFormat="1" ht="148.94999999999999" customHeight="1" x14ac:dyDescent="0.3">
      <c r="A127" s="4" t="s">
        <v>899</v>
      </c>
      <c r="B127" s="8" t="s">
        <v>276</v>
      </c>
      <c r="C127" s="8" t="s">
        <v>277</v>
      </c>
      <c r="D127" s="8" t="s">
        <v>278</v>
      </c>
      <c r="E127" s="22" t="s">
        <v>287</v>
      </c>
      <c r="F127" s="40" t="s">
        <v>288</v>
      </c>
      <c r="G127" s="32" t="s">
        <v>286</v>
      </c>
      <c r="H127" s="8" t="s">
        <v>282</v>
      </c>
      <c r="I127" s="14" t="s">
        <v>894</v>
      </c>
      <c r="J127" s="9" t="s">
        <v>96</v>
      </c>
      <c r="K127" s="10">
        <v>2025</v>
      </c>
      <c r="L127" s="11" t="s">
        <v>46</v>
      </c>
      <c r="M127" s="11" t="s">
        <v>47</v>
      </c>
      <c r="N127" s="11" t="s">
        <v>47</v>
      </c>
      <c r="O127" s="12">
        <v>1</v>
      </c>
      <c r="P127" s="12" t="s">
        <v>289</v>
      </c>
      <c r="Q127" s="13"/>
      <c r="R127" s="14" t="s">
        <v>48</v>
      </c>
      <c r="S127" s="15" t="s">
        <v>49</v>
      </c>
      <c r="T127" s="15" t="s">
        <v>50</v>
      </c>
      <c r="U127" s="7" t="s">
        <v>160</v>
      </c>
      <c r="V127" s="7" t="s">
        <v>161</v>
      </c>
      <c r="W127" s="7" t="s">
        <v>162</v>
      </c>
      <c r="X127" s="7" t="s">
        <v>163</v>
      </c>
      <c r="Y127" s="16" t="s">
        <v>55</v>
      </c>
      <c r="Z127" s="21">
        <v>283.33</v>
      </c>
      <c r="AA127" s="55"/>
      <c r="AB127" s="55"/>
      <c r="AC127" s="55">
        <v>1</v>
      </c>
      <c r="AD127" s="18">
        <f t="shared" si="44"/>
        <v>1</v>
      </c>
      <c r="AE127" s="38"/>
      <c r="AF127" s="38"/>
      <c r="AG127" s="38">
        <v>283.33</v>
      </c>
      <c r="AH127" s="38">
        <f t="shared" si="75"/>
        <v>283.33</v>
      </c>
      <c r="AI127" s="38"/>
      <c r="AJ127" s="38"/>
      <c r="AK127" s="359"/>
      <c r="AL127" s="359"/>
      <c r="AM127" s="74">
        <f t="shared" si="88"/>
        <v>283.33</v>
      </c>
      <c r="AN127" s="38"/>
      <c r="AO127" s="38"/>
      <c r="AP127" s="74">
        <f t="shared" si="89"/>
        <v>283.33</v>
      </c>
      <c r="AQ127" s="38"/>
      <c r="AR127" s="38"/>
      <c r="AS127" s="74">
        <f t="shared" si="90"/>
        <v>283.33</v>
      </c>
      <c r="AT127" s="38"/>
      <c r="AU127" s="38"/>
      <c r="AV127" s="38">
        <f t="shared" si="91"/>
        <v>283.33</v>
      </c>
      <c r="AW127" s="38"/>
      <c r="AX127" s="38"/>
      <c r="AY127" s="38">
        <f t="shared" si="92"/>
        <v>283.33</v>
      </c>
      <c r="AZ127" s="38"/>
      <c r="BA127" s="38"/>
      <c r="BB127" s="38">
        <f t="shared" si="93"/>
        <v>283.33</v>
      </c>
      <c r="BC127" s="74"/>
      <c r="BD127" s="74"/>
      <c r="BE127" s="74">
        <f t="shared" si="54"/>
        <v>283.33</v>
      </c>
      <c r="BF127" s="74"/>
      <c r="BG127" s="74"/>
      <c r="BH127" s="38">
        <f t="shared" si="55"/>
        <v>283.33</v>
      </c>
      <c r="BI127" s="38"/>
      <c r="BJ127" s="38"/>
      <c r="BK127" s="38">
        <f t="shared" si="56"/>
        <v>283.33</v>
      </c>
      <c r="BL127" s="337" t="s">
        <v>177</v>
      </c>
      <c r="BM127" s="38">
        <v>396.67</v>
      </c>
      <c r="BN127" s="337"/>
      <c r="BO127" s="34"/>
      <c r="BP127" s="34"/>
      <c r="BQ127" s="34"/>
      <c r="BR127" s="34"/>
      <c r="BS127" s="34"/>
      <c r="BT127" s="34"/>
      <c r="BU127" s="34"/>
      <c r="BV127" s="34"/>
      <c r="BW127" s="95"/>
      <c r="BX127" s="95"/>
      <c r="BY127" s="95"/>
      <c r="BZ127" s="95"/>
      <c r="CA127" s="95"/>
      <c r="CB127" s="95"/>
      <c r="CC127" s="95"/>
      <c r="CD127" s="96"/>
      <c r="CE127" s="67"/>
      <c r="CF127" s="781">
        <f t="shared" si="53"/>
        <v>0</v>
      </c>
      <c r="CG127" s="135" t="s">
        <v>467</v>
      </c>
      <c r="CH127" s="413">
        <v>0.3</v>
      </c>
      <c r="CI127" s="410">
        <v>45954</v>
      </c>
      <c r="CJ127" s="410"/>
      <c r="CK127" s="61" t="s">
        <v>371</v>
      </c>
      <c r="CL127" s="61" t="s">
        <v>371</v>
      </c>
      <c r="CM127" s="61" t="s">
        <v>370</v>
      </c>
      <c r="CN127" s="8" t="s">
        <v>45</v>
      </c>
      <c r="CO127" s="61" t="s">
        <v>372</v>
      </c>
      <c r="CP127" s="61" t="str">
        <f>+CO127</f>
        <v>REINOSO GALVEZ JOFFRE ISAIAS</v>
      </c>
      <c r="CQ127" s="9"/>
      <c r="CR127" s="9"/>
    </row>
    <row r="128" spans="1:96" s="19" customFormat="1" ht="100.95" customHeight="1" x14ac:dyDescent="0.3">
      <c r="A128" s="4" t="s">
        <v>899</v>
      </c>
      <c r="B128" s="8" t="s">
        <v>276</v>
      </c>
      <c r="C128" s="8" t="s">
        <v>290</v>
      </c>
      <c r="D128" s="8" t="s">
        <v>291</v>
      </c>
      <c r="E128" s="22" t="s">
        <v>271</v>
      </c>
      <c r="F128" s="8" t="s">
        <v>272</v>
      </c>
      <c r="G128" s="32" t="s">
        <v>292</v>
      </c>
      <c r="H128" s="8" t="s">
        <v>282</v>
      </c>
      <c r="I128" s="14" t="s">
        <v>894</v>
      </c>
      <c r="J128" s="9" t="s">
        <v>156</v>
      </c>
      <c r="K128" s="10">
        <v>2025</v>
      </c>
      <c r="L128" s="11" t="s">
        <v>46</v>
      </c>
      <c r="M128" s="11" t="s">
        <v>47</v>
      </c>
      <c r="N128" s="11" t="s">
        <v>47</v>
      </c>
      <c r="O128" s="12" t="s">
        <v>283</v>
      </c>
      <c r="P128" s="4" t="s">
        <v>293</v>
      </c>
      <c r="Q128" s="13"/>
      <c r="R128" s="14" t="s">
        <v>48</v>
      </c>
      <c r="S128" s="15" t="s">
        <v>49</v>
      </c>
      <c r="T128" s="15" t="s">
        <v>50</v>
      </c>
      <c r="U128" s="7" t="s">
        <v>160</v>
      </c>
      <c r="V128" s="7" t="s">
        <v>161</v>
      </c>
      <c r="W128" s="7" t="s">
        <v>162</v>
      </c>
      <c r="X128" s="7" t="s">
        <v>163</v>
      </c>
      <c r="Y128" s="16" t="s">
        <v>55</v>
      </c>
      <c r="Z128" s="34"/>
      <c r="AA128" s="55"/>
      <c r="AB128" s="55"/>
      <c r="AC128" s="55"/>
      <c r="AD128" s="18"/>
      <c r="AE128" s="38"/>
      <c r="AF128" s="38"/>
      <c r="AG128" s="38"/>
      <c r="AH128" s="38">
        <f t="shared" si="75"/>
        <v>0</v>
      </c>
      <c r="AI128" s="38"/>
      <c r="AJ128" s="38"/>
      <c r="AK128" s="359"/>
      <c r="AL128" s="359"/>
      <c r="AM128" s="74">
        <f t="shared" si="88"/>
        <v>0</v>
      </c>
      <c r="AN128" s="38"/>
      <c r="AO128" s="38"/>
      <c r="AP128" s="74">
        <f t="shared" si="89"/>
        <v>0</v>
      </c>
      <c r="AQ128" s="38"/>
      <c r="AR128" s="38"/>
      <c r="AS128" s="74">
        <f t="shared" si="90"/>
        <v>0</v>
      </c>
      <c r="AT128" s="38"/>
      <c r="AU128" s="38"/>
      <c r="AV128" s="38">
        <f t="shared" si="91"/>
        <v>0</v>
      </c>
      <c r="AW128" s="38"/>
      <c r="AX128" s="38"/>
      <c r="AY128" s="38">
        <f t="shared" si="92"/>
        <v>0</v>
      </c>
      <c r="AZ128" s="38"/>
      <c r="BA128" s="38"/>
      <c r="BB128" s="38">
        <f t="shared" si="93"/>
        <v>0</v>
      </c>
      <c r="BC128" s="74"/>
      <c r="BD128" s="74"/>
      <c r="BE128" s="74">
        <f t="shared" si="54"/>
        <v>0</v>
      </c>
      <c r="BF128" s="74"/>
      <c r="BG128" s="74"/>
      <c r="BH128" s="38">
        <f t="shared" si="55"/>
        <v>0</v>
      </c>
      <c r="BI128" s="38"/>
      <c r="BJ128" s="38"/>
      <c r="BK128" s="38">
        <f t="shared" si="56"/>
        <v>0</v>
      </c>
      <c r="BL128" s="337" t="s">
        <v>56</v>
      </c>
      <c r="BM128" s="110">
        <v>0</v>
      </c>
      <c r="BN128" s="337"/>
      <c r="BO128" s="34"/>
      <c r="BP128" s="80"/>
      <c r="BQ128" s="80"/>
      <c r="BR128" s="34"/>
      <c r="BS128" s="34"/>
      <c r="BT128" s="34"/>
      <c r="BU128" s="34"/>
      <c r="BV128" s="34"/>
      <c r="BW128" s="95"/>
      <c r="BX128" s="95"/>
      <c r="BY128" s="95"/>
      <c r="BZ128" s="95"/>
      <c r="CA128" s="95"/>
      <c r="CB128" s="95"/>
      <c r="CC128" s="95"/>
      <c r="CD128" s="96"/>
      <c r="CE128" s="67"/>
      <c r="CF128" s="781">
        <f t="shared" si="53"/>
        <v>0</v>
      </c>
      <c r="CG128" s="420" t="s">
        <v>971</v>
      </c>
      <c r="CH128" s="134"/>
      <c r="CI128" s="412"/>
      <c r="CJ128" s="412"/>
      <c r="CK128" s="61">
        <v>45915</v>
      </c>
      <c r="CL128" s="61">
        <v>45940</v>
      </c>
      <c r="CM128" s="61" t="s">
        <v>362</v>
      </c>
      <c r="CN128" s="8" t="s">
        <v>373</v>
      </c>
      <c r="CO128" s="61" t="s">
        <v>374</v>
      </c>
      <c r="CP128" s="61" t="str">
        <f t="shared" ref="CP128:CP157" si="100">+CM128</f>
        <v>RIOS GUIJARRO CARLOS ALBERTO</v>
      </c>
      <c r="CQ128" s="9"/>
      <c r="CR128" s="9"/>
    </row>
    <row r="129" spans="1:96" s="19" customFormat="1" ht="74.400000000000006" customHeight="1" x14ac:dyDescent="0.3">
      <c r="A129" s="4" t="s">
        <v>899</v>
      </c>
      <c r="B129" s="8" t="s">
        <v>276</v>
      </c>
      <c r="C129" s="8" t="s">
        <v>290</v>
      </c>
      <c r="D129" s="8" t="s">
        <v>291</v>
      </c>
      <c r="E129" s="22" t="s">
        <v>275</v>
      </c>
      <c r="F129" s="8" t="s">
        <v>408</v>
      </c>
      <c r="G129" s="32" t="s">
        <v>552</v>
      </c>
      <c r="H129" s="8" t="s">
        <v>282</v>
      </c>
      <c r="I129" s="14" t="s">
        <v>894</v>
      </c>
      <c r="J129" s="9" t="s">
        <v>156</v>
      </c>
      <c r="K129" s="10">
        <v>2025</v>
      </c>
      <c r="L129" s="11" t="s">
        <v>46</v>
      </c>
      <c r="M129" s="11" t="s">
        <v>47</v>
      </c>
      <c r="N129" s="11" t="s">
        <v>47</v>
      </c>
      <c r="O129" s="12" t="s">
        <v>283</v>
      </c>
      <c r="P129" s="4" t="s">
        <v>915</v>
      </c>
      <c r="Q129" s="13"/>
      <c r="R129" s="14" t="s">
        <v>48</v>
      </c>
      <c r="S129" s="15" t="s">
        <v>49</v>
      </c>
      <c r="T129" s="15" t="s">
        <v>50</v>
      </c>
      <c r="U129" s="7" t="s">
        <v>160</v>
      </c>
      <c r="V129" s="7" t="s">
        <v>161</v>
      </c>
      <c r="W129" s="7" t="s">
        <v>162</v>
      </c>
      <c r="X129" s="7" t="s">
        <v>163</v>
      </c>
      <c r="Y129" s="16" t="s">
        <v>55</v>
      </c>
      <c r="Z129" s="21"/>
      <c r="AA129" s="55"/>
      <c r="AB129" s="55"/>
      <c r="AC129" s="55">
        <v>1</v>
      </c>
      <c r="AD129" s="18">
        <f t="shared" si="44"/>
        <v>1</v>
      </c>
      <c r="AE129" s="38"/>
      <c r="AF129" s="38"/>
      <c r="AG129" s="38">
        <v>100.8</v>
      </c>
      <c r="AH129" s="38">
        <f t="shared" si="75"/>
        <v>100.8</v>
      </c>
      <c r="AI129" s="38"/>
      <c r="AJ129" s="38"/>
      <c r="AK129" s="359"/>
      <c r="AL129" s="359"/>
      <c r="AM129" s="74"/>
      <c r="AN129" s="38"/>
      <c r="AO129" s="38"/>
      <c r="AP129" s="74"/>
      <c r="AQ129" s="38"/>
      <c r="AR129" s="38"/>
      <c r="AS129" s="74"/>
      <c r="AT129" s="38"/>
      <c r="AU129" s="38"/>
      <c r="AV129" s="38"/>
      <c r="AW129" s="38"/>
      <c r="AX129" s="38"/>
      <c r="AY129" s="38"/>
      <c r="AZ129" s="38"/>
      <c r="BA129" s="38"/>
      <c r="BB129" s="38">
        <f>+AY129+AZ129-BA129</f>
        <v>0</v>
      </c>
      <c r="BC129" s="74">
        <v>100.8</v>
      </c>
      <c r="BD129" s="74"/>
      <c r="BE129" s="74">
        <f t="shared" si="54"/>
        <v>100.8</v>
      </c>
      <c r="BF129" s="74"/>
      <c r="BG129" s="74"/>
      <c r="BH129" s="38">
        <f t="shared" si="55"/>
        <v>100.8</v>
      </c>
      <c r="BI129" s="38"/>
      <c r="BJ129" s="38"/>
      <c r="BK129" s="38">
        <f t="shared" si="56"/>
        <v>100.8</v>
      </c>
      <c r="BL129" s="337"/>
      <c r="BM129" s="37"/>
      <c r="BN129" s="131"/>
      <c r="BO129" s="32"/>
      <c r="BP129" s="67"/>
      <c r="BQ129" s="67"/>
      <c r="BR129" s="34"/>
      <c r="BS129" s="34"/>
      <c r="BT129" s="34"/>
      <c r="BU129" s="34"/>
      <c r="BV129" s="34"/>
      <c r="BW129" s="34"/>
      <c r="BX129" s="67"/>
      <c r="BY129" s="95"/>
      <c r="BZ129" s="95"/>
      <c r="CA129" s="95"/>
      <c r="CB129" s="95"/>
      <c r="CC129" s="34"/>
      <c r="CD129" s="67"/>
      <c r="CE129" s="67"/>
      <c r="CF129" s="781">
        <f t="shared" si="53"/>
        <v>0</v>
      </c>
      <c r="CG129" s="135" t="s">
        <v>467</v>
      </c>
      <c r="CH129" s="413">
        <v>0.3</v>
      </c>
      <c r="CI129" s="410">
        <v>45954</v>
      </c>
      <c r="CJ129" s="410"/>
      <c r="CK129" s="61"/>
      <c r="CL129" s="61"/>
      <c r="CM129" s="61"/>
      <c r="CN129" s="8"/>
      <c r="CO129" s="61"/>
      <c r="CP129" s="61"/>
      <c r="CQ129" s="9"/>
      <c r="CR129" s="9"/>
    </row>
    <row r="130" spans="1:96" s="19" customFormat="1" ht="64.2" customHeight="1" x14ac:dyDescent="0.3">
      <c r="A130" s="4" t="s">
        <v>899</v>
      </c>
      <c r="B130" s="8" t="s">
        <v>276</v>
      </c>
      <c r="C130" s="8" t="s">
        <v>290</v>
      </c>
      <c r="D130" s="8" t="s">
        <v>291</v>
      </c>
      <c r="E130" s="22" t="s">
        <v>553</v>
      </c>
      <c r="F130" s="8" t="s">
        <v>555</v>
      </c>
      <c r="G130" s="32" t="s">
        <v>552</v>
      </c>
      <c r="H130" s="8" t="s">
        <v>282</v>
      </c>
      <c r="I130" s="14" t="s">
        <v>894</v>
      </c>
      <c r="J130" s="9" t="s">
        <v>156</v>
      </c>
      <c r="K130" s="10">
        <v>2025</v>
      </c>
      <c r="L130" s="11" t="s">
        <v>46</v>
      </c>
      <c r="M130" s="11" t="s">
        <v>47</v>
      </c>
      <c r="N130" s="11" t="s">
        <v>47</v>
      </c>
      <c r="O130" s="12" t="s">
        <v>283</v>
      </c>
      <c r="P130" s="4" t="s">
        <v>915</v>
      </c>
      <c r="Q130" s="13"/>
      <c r="R130" s="14" t="s">
        <v>48</v>
      </c>
      <c r="S130" s="15" t="s">
        <v>49</v>
      </c>
      <c r="T130" s="15" t="s">
        <v>50</v>
      </c>
      <c r="U130" s="7" t="s">
        <v>160</v>
      </c>
      <c r="V130" s="7" t="s">
        <v>161</v>
      </c>
      <c r="W130" s="7" t="s">
        <v>162</v>
      </c>
      <c r="X130" s="7" t="s">
        <v>163</v>
      </c>
      <c r="Y130" s="16" t="s">
        <v>55</v>
      </c>
      <c r="Z130" s="21"/>
      <c r="AA130" s="55"/>
      <c r="AB130" s="55"/>
      <c r="AC130" s="55">
        <v>1</v>
      </c>
      <c r="AD130" s="18">
        <f t="shared" si="44"/>
        <v>1</v>
      </c>
      <c r="AE130" s="38"/>
      <c r="AF130" s="38"/>
      <c r="AG130" s="38">
        <v>6140.76</v>
      </c>
      <c r="AH130" s="38">
        <f t="shared" si="75"/>
        <v>6140.76</v>
      </c>
      <c r="AI130" s="38"/>
      <c r="AJ130" s="38"/>
      <c r="AK130" s="359"/>
      <c r="AL130" s="359"/>
      <c r="AM130" s="74"/>
      <c r="AN130" s="38"/>
      <c r="AO130" s="38"/>
      <c r="AP130" s="74"/>
      <c r="AQ130" s="38"/>
      <c r="AR130" s="38"/>
      <c r="AS130" s="74"/>
      <c r="AT130" s="38"/>
      <c r="AU130" s="38"/>
      <c r="AV130" s="38"/>
      <c r="AW130" s="38"/>
      <c r="AX130" s="38"/>
      <c r="AY130" s="38"/>
      <c r="AZ130" s="38"/>
      <c r="BA130" s="38"/>
      <c r="BB130" s="38">
        <f t="shared" ref="BB130:BB131" si="101">+AY130+AZ130-BA130</f>
        <v>0</v>
      </c>
      <c r="BC130" s="74">
        <v>6140.76</v>
      </c>
      <c r="BD130" s="74"/>
      <c r="BE130" s="74">
        <f t="shared" si="54"/>
        <v>6140.76</v>
      </c>
      <c r="BF130" s="74"/>
      <c r="BG130" s="74"/>
      <c r="BH130" s="38">
        <f t="shared" si="55"/>
        <v>6140.76</v>
      </c>
      <c r="BI130" s="38"/>
      <c r="BJ130" s="38"/>
      <c r="BK130" s="38">
        <f t="shared" si="56"/>
        <v>6140.76</v>
      </c>
      <c r="BL130" s="337"/>
      <c r="BM130" s="37"/>
      <c r="BN130" s="131"/>
      <c r="BO130" s="32"/>
      <c r="BP130" s="67"/>
      <c r="BQ130" s="67"/>
      <c r="BR130" s="34"/>
      <c r="BS130" s="34"/>
      <c r="BT130" s="34"/>
      <c r="BU130" s="34"/>
      <c r="BV130" s="34"/>
      <c r="BW130" s="34"/>
      <c r="BX130" s="67"/>
      <c r="BY130" s="95"/>
      <c r="BZ130" s="95"/>
      <c r="CA130" s="95"/>
      <c r="CB130" s="95"/>
      <c r="CC130" s="34"/>
      <c r="CD130" s="67"/>
      <c r="CE130" s="67"/>
      <c r="CF130" s="781">
        <f t="shared" si="53"/>
        <v>0</v>
      </c>
      <c r="CG130" s="135" t="s">
        <v>467</v>
      </c>
      <c r="CH130" s="413">
        <v>0.3</v>
      </c>
      <c r="CI130" s="410">
        <v>45954</v>
      </c>
      <c r="CJ130" s="410"/>
      <c r="CK130" s="61"/>
      <c r="CL130" s="61"/>
      <c r="CM130" s="61"/>
      <c r="CN130" s="8"/>
      <c r="CO130" s="61"/>
      <c r="CP130" s="61"/>
      <c r="CQ130" s="9"/>
      <c r="CR130" s="9"/>
    </row>
    <row r="131" spans="1:96" s="19" customFormat="1" ht="60.6" customHeight="1" x14ac:dyDescent="0.3">
      <c r="A131" s="4" t="s">
        <v>899</v>
      </c>
      <c r="B131" s="8" t="s">
        <v>276</v>
      </c>
      <c r="C131" s="8" t="s">
        <v>290</v>
      </c>
      <c r="D131" s="8" t="s">
        <v>291</v>
      </c>
      <c r="E131" s="22" t="s">
        <v>153</v>
      </c>
      <c r="F131" s="8" t="s">
        <v>554</v>
      </c>
      <c r="G131" s="32" t="s">
        <v>552</v>
      </c>
      <c r="H131" s="8" t="s">
        <v>282</v>
      </c>
      <c r="I131" s="14" t="s">
        <v>894</v>
      </c>
      <c r="J131" s="9" t="s">
        <v>156</v>
      </c>
      <c r="K131" s="10">
        <v>2025</v>
      </c>
      <c r="L131" s="11" t="s">
        <v>46</v>
      </c>
      <c r="M131" s="11" t="s">
        <v>47</v>
      </c>
      <c r="N131" s="11" t="s">
        <v>47</v>
      </c>
      <c r="O131" s="12" t="s">
        <v>283</v>
      </c>
      <c r="P131" s="4" t="s">
        <v>915</v>
      </c>
      <c r="Q131" s="13"/>
      <c r="R131" s="14" t="s">
        <v>48</v>
      </c>
      <c r="S131" s="15" t="s">
        <v>49</v>
      </c>
      <c r="T131" s="15" t="s">
        <v>50</v>
      </c>
      <c r="U131" s="7" t="s">
        <v>160</v>
      </c>
      <c r="V131" s="7" t="s">
        <v>161</v>
      </c>
      <c r="W131" s="7" t="s">
        <v>162</v>
      </c>
      <c r="X131" s="7" t="s">
        <v>163</v>
      </c>
      <c r="Y131" s="16" t="s">
        <v>55</v>
      </c>
      <c r="Z131" s="21"/>
      <c r="AA131" s="55"/>
      <c r="AB131" s="55"/>
      <c r="AC131" s="55">
        <v>1</v>
      </c>
      <c r="AD131" s="18">
        <f t="shared" si="44"/>
        <v>1</v>
      </c>
      <c r="AE131" s="38"/>
      <c r="AF131" s="38"/>
      <c r="AG131" s="38">
        <v>542.86</v>
      </c>
      <c r="AH131" s="38">
        <f t="shared" si="75"/>
        <v>542.86</v>
      </c>
      <c r="AI131" s="38"/>
      <c r="AJ131" s="38"/>
      <c r="AK131" s="359"/>
      <c r="AL131" s="359"/>
      <c r="AM131" s="74"/>
      <c r="AN131" s="38"/>
      <c r="AO131" s="38"/>
      <c r="AP131" s="74"/>
      <c r="AQ131" s="38"/>
      <c r="AR131" s="38"/>
      <c r="AS131" s="74"/>
      <c r="AT131" s="38"/>
      <c r="AU131" s="38"/>
      <c r="AV131" s="38"/>
      <c r="AW131" s="38"/>
      <c r="AX131" s="38"/>
      <c r="AY131" s="38"/>
      <c r="AZ131" s="38"/>
      <c r="BA131" s="38"/>
      <c r="BB131" s="38">
        <f t="shared" si="101"/>
        <v>0</v>
      </c>
      <c r="BC131" s="74">
        <v>542.86</v>
      </c>
      <c r="BD131" s="74"/>
      <c r="BE131" s="74">
        <f t="shared" si="54"/>
        <v>542.86</v>
      </c>
      <c r="BF131" s="74"/>
      <c r="BG131" s="74"/>
      <c r="BH131" s="38">
        <f t="shared" si="55"/>
        <v>542.86</v>
      </c>
      <c r="BI131" s="38"/>
      <c r="BJ131" s="38"/>
      <c r="BK131" s="38">
        <f t="shared" si="56"/>
        <v>542.86</v>
      </c>
      <c r="BL131" s="337"/>
      <c r="BM131" s="37"/>
      <c r="BN131" s="131"/>
      <c r="BO131" s="32"/>
      <c r="BP131" s="67"/>
      <c r="BQ131" s="67"/>
      <c r="BR131" s="34"/>
      <c r="BS131" s="34"/>
      <c r="BT131" s="34"/>
      <c r="BU131" s="34"/>
      <c r="BV131" s="34"/>
      <c r="BW131" s="34"/>
      <c r="BX131" s="67"/>
      <c r="BY131" s="95"/>
      <c r="BZ131" s="95"/>
      <c r="CA131" s="95"/>
      <c r="CB131" s="95"/>
      <c r="CC131" s="34"/>
      <c r="CD131" s="67"/>
      <c r="CE131" s="67"/>
      <c r="CF131" s="781">
        <f t="shared" si="53"/>
        <v>0</v>
      </c>
      <c r="CG131" s="135" t="s">
        <v>467</v>
      </c>
      <c r="CH131" s="413">
        <v>0.3</v>
      </c>
      <c r="CI131" s="410">
        <v>45954</v>
      </c>
      <c r="CJ131" s="410"/>
      <c r="CK131" s="61"/>
      <c r="CL131" s="61"/>
      <c r="CM131" s="61"/>
      <c r="CN131" s="8"/>
      <c r="CO131" s="61"/>
      <c r="CP131" s="61"/>
      <c r="CQ131" s="9"/>
      <c r="CR131" s="9"/>
    </row>
    <row r="132" spans="1:96" s="19" customFormat="1" ht="132.6" customHeight="1" x14ac:dyDescent="0.3">
      <c r="A132" s="4" t="s">
        <v>899</v>
      </c>
      <c r="B132" s="8" t="s">
        <v>276</v>
      </c>
      <c r="C132" s="8" t="s">
        <v>290</v>
      </c>
      <c r="D132" s="8" t="s">
        <v>291</v>
      </c>
      <c r="E132" s="22" t="s">
        <v>182</v>
      </c>
      <c r="F132" s="8" t="s">
        <v>549</v>
      </c>
      <c r="G132" s="32" t="s">
        <v>558</v>
      </c>
      <c r="H132" s="8" t="s">
        <v>282</v>
      </c>
      <c r="I132" s="14" t="s">
        <v>894</v>
      </c>
      <c r="J132" s="9" t="s">
        <v>96</v>
      </c>
      <c r="K132" s="10">
        <v>2025</v>
      </c>
      <c r="L132" s="11" t="s">
        <v>46</v>
      </c>
      <c r="M132" s="11" t="s">
        <v>47</v>
      </c>
      <c r="N132" s="11" t="s">
        <v>47</v>
      </c>
      <c r="O132" s="12" t="s">
        <v>283</v>
      </c>
      <c r="P132" s="4" t="s">
        <v>915</v>
      </c>
      <c r="Q132" s="13"/>
      <c r="R132" s="14" t="s">
        <v>48</v>
      </c>
      <c r="S132" s="15" t="s">
        <v>49</v>
      </c>
      <c r="T132" s="15" t="s">
        <v>50</v>
      </c>
      <c r="U132" s="7" t="s">
        <v>160</v>
      </c>
      <c r="V132" s="7" t="s">
        <v>161</v>
      </c>
      <c r="W132" s="7" t="s">
        <v>162</v>
      </c>
      <c r="X132" s="7" t="s">
        <v>163</v>
      </c>
      <c r="Y132" s="16" t="s">
        <v>55</v>
      </c>
      <c r="Z132" s="21"/>
      <c r="AA132" s="55"/>
      <c r="AB132" s="55"/>
      <c r="AC132" s="55">
        <v>1</v>
      </c>
      <c r="AD132" s="18">
        <f t="shared" si="44"/>
        <v>1</v>
      </c>
      <c r="AE132" s="38"/>
      <c r="AF132" s="38"/>
      <c r="AG132" s="38">
        <v>3459</v>
      </c>
      <c r="AH132" s="38">
        <f t="shared" si="75"/>
        <v>3459</v>
      </c>
      <c r="AI132" s="38"/>
      <c r="AJ132" s="38"/>
      <c r="AK132" s="359"/>
      <c r="AL132" s="359"/>
      <c r="AM132" s="74"/>
      <c r="AN132" s="38"/>
      <c r="AO132" s="38"/>
      <c r="AP132" s="74"/>
      <c r="AQ132" s="38"/>
      <c r="AR132" s="38"/>
      <c r="AS132" s="74"/>
      <c r="AT132" s="38"/>
      <c r="AU132" s="38"/>
      <c r="AV132" s="38"/>
      <c r="AW132" s="38"/>
      <c r="AX132" s="38"/>
      <c r="AY132" s="38"/>
      <c r="AZ132" s="38"/>
      <c r="BA132" s="38"/>
      <c r="BB132" s="38">
        <f>+AY132+AZ132-BA132</f>
        <v>0</v>
      </c>
      <c r="BC132" s="74">
        <v>3459</v>
      </c>
      <c r="BD132" s="74"/>
      <c r="BE132" s="74">
        <f t="shared" si="54"/>
        <v>3459</v>
      </c>
      <c r="BF132" s="74"/>
      <c r="BG132" s="74"/>
      <c r="BH132" s="38">
        <f t="shared" si="55"/>
        <v>3459</v>
      </c>
      <c r="BI132" s="38"/>
      <c r="BJ132" s="38"/>
      <c r="BK132" s="38">
        <f t="shared" si="56"/>
        <v>3459</v>
      </c>
      <c r="BL132" s="337"/>
      <c r="BM132" s="37"/>
      <c r="BN132" s="131"/>
      <c r="BO132" s="32"/>
      <c r="BP132" s="67"/>
      <c r="BQ132" s="67"/>
      <c r="BR132" s="34"/>
      <c r="BS132" s="34"/>
      <c r="BT132" s="34"/>
      <c r="BU132" s="34"/>
      <c r="BV132" s="34"/>
      <c r="BW132" s="34"/>
      <c r="BX132" s="67"/>
      <c r="BY132" s="95"/>
      <c r="BZ132" s="95"/>
      <c r="CA132" s="95"/>
      <c r="CB132" s="95"/>
      <c r="CC132" s="34"/>
      <c r="CD132" s="67"/>
      <c r="CE132" s="67"/>
      <c r="CF132" s="781">
        <f t="shared" si="53"/>
        <v>0</v>
      </c>
      <c r="CG132" s="134" t="s">
        <v>974</v>
      </c>
      <c r="CH132" s="134"/>
      <c r="CI132" s="412"/>
      <c r="CJ132" s="412"/>
      <c r="CK132" s="61"/>
      <c r="CL132" s="61"/>
      <c r="CM132" s="61"/>
      <c r="CN132" s="8"/>
      <c r="CO132" s="61"/>
      <c r="CP132" s="61"/>
      <c r="CQ132" s="9"/>
      <c r="CR132" s="9"/>
    </row>
    <row r="133" spans="1:96" s="19" customFormat="1" ht="158.4" customHeight="1" x14ac:dyDescent="0.3">
      <c r="A133" s="4" t="s">
        <v>899</v>
      </c>
      <c r="B133" s="8" t="s">
        <v>276</v>
      </c>
      <c r="C133" s="8" t="s">
        <v>290</v>
      </c>
      <c r="D133" s="8" t="s">
        <v>291</v>
      </c>
      <c r="E133" s="22" t="s">
        <v>279</v>
      </c>
      <c r="F133" s="8" t="s">
        <v>557</v>
      </c>
      <c r="G133" s="32" t="s">
        <v>556</v>
      </c>
      <c r="H133" s="8" t="s">
        <v>282</v>
      </c>
      <c r="I133" s="14" t="s">
        <v>894</v>
      </c>
      <c r="J133" s="9" t="s">
        <v>156</v>
      </c>
      <c r="K133" s="10">
        <v>2025</v>
      </c>
      <c r="L133" s="11" t="s">
        <v>46</v>
      </c>
      <c r="M133" s="11" t="s">
        <v>47</v>
      </c>
      <c r="N133" s="11" t="s">
        <v>47</v>
      </c>
      <c r="O133" s="12" t="s">
        <v>283</v>
      </c>
      <c r="P133" s="4" t="s">
        <v>915</v>
      </c>
      <c r="Q133" s="13"/>
      <c r="R133" s="14" t="s">
        <v>48</v>
      </c>
      <c r="S133" s="15" t="s">
        <v>49</v>
      </c>
      <c r="T133" s="15" t="s">
        <v>50</v>
      </c>
      <c r="U133" s="7" t="s">
        <v>160</v>
      </c>
      <c r="V133" s="7" t="s">
        <v>161</v>
      </c>
      <c r="W133" s="7" t="s">
        <v>162</v>
      </c>
      <c r="X133" s="7" t="s">
        <v>163</v>
      </c>
      <c r="Y133" s="16" t="s">
        <v>55</v>
      </c>
      <c r="Z133" s="21"/>
      <c r="AA133" s="55"/>
      <c r="AB133" s="55"/>
      <c r="AC133" s="55">
        <v>1</v>
      </c>
      <c r="AD133" s="18">
        <f t="shared" ref="AD133" si="102">+AA133+AB133+AC133</f>
        <v>1</v>
      </c>
      <c r="AE133" s="38"/>
      <c r="AF133" s="38"/>
      <c r="AG133" s="38">
        <v>2500</v>
      </c>
      <c r="AH133" s="38">
        <f t="shared" si="75"/>
        <v>2500</v>
      </c>
      <c r="AI133" s="38"/>
      <c r="AJ133" s="38"/>
      <c r="AK133" s="359"/>
      <c r="AL133" s="359"/>
      <c r="AM133" s="74"/>
      <c r="AN133" s="38"/>
      <c r="AO133" s="38"/>
      <c r="AP133" s="74"/>
      <c r="AQ133" s="38"/>
      <c r="AR133" s="38"/>
      <c r="AS133" s="74"/>
      <c r="AT133" s="38"/>
      <c r="AU133" s="38"/>
      <c r="AV133" s="38"/>
      <c r="AW133" s="38"/>
      <c r="AX133" s="38"/>
      <c r="AY133" s="38"/>
      <c r="AZ133" s="38"/>
      <c r="BA133" s="38"/>
      <c r="BB133" s="38">
        <f>+AY133+AZ133-BA133</f>
        <v>0</v>
      </c>
      <c r="BC133" s="74">
        <v>2500</v>
      </c>
      <c r="BD133" s="74"/>
      <c r="BE133" s="74">
        <f t="shared" si="54"/>
        <v>2500</v>
      </c>
      <c r="BF133" s="74"/>
      <c r="BG133" s="74"/>
      <c r="BH133" s="38">
        <f t="shared" si="55"/>
        <v>2500</v>
      </c>
      <c r="BI133" s="38"/>
      <c r="BJ133" s="38"/>
      <c r="BK133" s="38">
        <f t="shared" si="56"/>
        <v>2500</v>
      </c>
      <c r="BL133" s="337"/>
      <c r="BM133" s="37"/>
      <c r="BN133" s="131"/>
      <c r="BO133" s="32"/>
      <c r="BP133" s="67"/>
      <c r="BQ133" s="67"/>
      <c r="BR133" s="34"/>
      <c r="BS133" s="34"/>
      <c r="BT133" s="34"/>
      <c r="BU133" s="34"/>
      <c r="BV133" s="34"/>
      <c r="BW133" s="34"/>
      <c r="BX133" s="67"/>
      <c r="BY133" s="95"/>
      <c r="BZ133" s="95"/>
      <c r="CA133" s="95"/>
      <c r="CB133" s="95"/>
      <c r="CC133" s="34"/>
      <c r="CD133" s="67"/>
      <c r="CE133" s="67"/>
      <c r="CF133" s="781">
        <f t="shared" si="53"/>
        <v>0</v>
      </c>
      <c r="CG133" s="135" t="s">
        <v>467</v>
      </c>
      <c r="CH133" s="413">
        <v>0.3</v>
      </c>
      <c r="CI133" s="410">
        <v>45954</v>
      </c>
      <c r="CJ133" s="410"/>
      <c r="CK133" s="61"/>
      <c r="CL133" s="61"/>
      <c r="CM133" s="61"/>
      <c r="CN133" s="8"/>
      <c r="CO133" s="61"/>
      <c r="CP133" s="61"/>
      <c r="CQ133" s="9"/>
      <c r="CR133" s="9"/>
    </row>
    <row r="134" spans="1:96" s="19" customFormat="1" ht="220.5" customHeight="1" x14ac:dyDescent="0.3">
      <c r="A134" s="4" t="s">
        <v>899</v>
      </c>
      <c r="B134" s="48" t="s">
        <v>276</v>
      </c>
      <c r="C134" s="48" t="s">
        <v>232</v>
      </c>
      <c r="D134" s="48" t="s">
        <v>233</v>
      </c>
      <c r="E134" s="49" t="s">
        <v>182</v>
      </c>
      <c r="F134" s="50" t="s">
        <v>285</v>
      </c>
      <c r="G134" s="325" t="s">
        <v>322</v>
      </c>
      <c r="H134" s="48" t="s">
        <v>282</v>
      </c>
      <c r="I134" s="14" t="s">
        <v>894</v>
      </c>
      <c r="J134" s="9" t="s">
        <v>96</v>
      </c>
      <c r="K134" s="10">
        <v>2025</v>
      </c>
      <c r="L134" s="11" t="s">
        <v>56</v>
      </c>
      <c r="M134" s="11" t="s">
        <v>47</v>
      </c>
      <c r="N134" s="11" t="s">
        <v>47</v>
      </c>
      <c r="O134" s="12">
        <v>10</v>
      </c>
      <c r="P134" s="4" t="s">
        <v>323</v>
      </c>
      <c r="Q134" s="13"/>
      <c r="R134" s="14" t="s">
        <v>48</v>
      </c>
      <c r="S134" s="15" t="s">
        <v>49</v>
      </c>
      <c r="T134" s="15" t="s">
        <v>50</v>
      </c>
      <c r="U134" s="7" t="s">
        <v>160</v>
      </c>
      <c r="V134" s="7" t="s">
        <v>161</v>
      </c>
      <c r="W134" s="7" t="s">
        <v>162</v>
      </c>
      <c r="X134" s="7" t="s">
        <v>163</v>
      </c>
      <c r="Y134" s="16" t="s">
        <v>55</v>
      </c>
      <c r="Z134" s="21">
        <v>400</v>
      </c>
      <c r="AA134" s="55">
        <v>0.5</v>
      </c>
      <c r="AB134" s="55">
        <v>0.5</v>
      </c>
      <c r="AC134" s="55"/>
      <c r="AD134" s="18">
        <f>+AA134+AB134+AC134</f>
        <v>1</v>
      </c>
      <c r="AE134" s="38"/>
      <c r="AF134" s="38"/>
      <c r="AG134" s="38"/>
      <c r="AH134" s="38">
        <f t="shared" si="75"/>
        <v>0</v>
      </c>
      <c r="AI134" s="38"/>
      <c r="AJ134" s="38"/>
      <c r="AK134" s="359"/>
      <c r="AL134" s="359"/>
      <c r="AM134" s="74">
        <f>+Z134+AI134-AJ134+AK134-AL134</f>
        <v>400</v>
      </c>
      <c r="AN134" s="38"/>
      <c r="AO134" s="38"/>
      <c r="AP134" s="74">
        <f>+AM134+AN134-AO134</f>
        <v>400</v>
      </c>
      <c r="AQ134" s="38"/>
      <c r="AR134" s="38"/>
      <c r="AS134" s="74">
        <f>+AP134+AQ134-AR134</f>
        <v>400</v>
      </c>
      <c r="AT134" s="38"/>
      <c r="AU134" s="38"/>
      <c r="AV134" s="38">
        <f>+AS134+AT134-AU134</f>
        <v>400</v>
      </c>
      <c r="AW134" s="38"/>
      <c r="AX134" s="38"/>
      <c r="AY134" s="38">
        <f>+AV134+AW134-AX134</f>
        <v>400</v>
      </c>
      <c r="AZ134" s="38"/>
      <c r="BA134" s="38"/>
      <c r="BB134" s="38">
        <f>+AY134+AZ134-BA134</f>
        <v>400</v>
      </c>
      <c r="BC134" s="74"/>
      <c r="BD134" s="74">
        <v>400</v>
      </c>
      <c r="BE134" s="74">
        <f t="shared" si="54"/>
        <v>0</v>
      </c>
      <c r="BF134" s="74"/>
      <c r="BG134" s="74"/>
      <c r="BH134" s="38">
        <f t="shared" si="55"/>
        <v>0</v>
      </c>
      <c r="BI134" s="38"/>
      <c r="BJ134" s="38"/>
      <c r="BK134" s="38">
        <f t="shared" si="56"/>
        <v>0</v>
      </c>
      <c r="BL134" s="337" t="s">
        <v>56</v>
      </c>
      <c r="BM134" s="37"/>
      <c r="BN134" s="131"/>
      <c r="BO134" s="34"/>
      <c r="BP134" s="34"/>
      <c r="BQ134" s="34"/>
      <c r="BR134" s="34"/>
      <c r="BS134" s="34"/>
      <c r="BT134" s="34"/>
      <c r="BU134" s="34"/>
      <c r="BV134" s="34"/>
      <c r="BW134" s="95"/>
      <c r="BX134" s="95"/>
      <c r="BY134" s="95"/>
      <c r="BZ134" s="95"/>
      <c r="CA134" s="95"/>
      <c r="CB134" s="95"/>
      <c r="CC134" s="95"/>
      <c r="CD134" s="96"/>
      <c r="CE134" s="67"/>
      <c r="CF134" s="781">
        <f t="shared" si="53"/>
        <v>0</v>
      </c>
      <c r="CG134" s="133" t="s">
        <v>544</v>
      </c>
      <c r="CH134" s="133" t="s">
        <v>544</v>
      </c>
      <c r="CI134" s="133" t="s">
        <v>544</v>
      </c>
      <c r="CJ134" s="133"/>
      <c r="CK134" s="10"/>
      <c r="CL134" s="10"/>
      <c r="CM134" s="9"/>
      <c r="CN134" s="9"/>
      <c r="CO134" s="9"/>
      <c r="CP134" s="9" t="s">
        <v>372</v>
      </c>
      <c r="CQ134" s="9" t="s">
        <v>468</v>
      </c>
      <c r="CR134" s="75" t="s">
        <v>470</v>
      </c>
    </row>
    <row r="135" spans="1:96" s="19" customFormat="1" ht="220.5" customHeight="1" x14ac:dyDescent="0.3">
      <c r="A135" s="4" t="s">
        <v>899</v>
      </c>
      <c r="B135" s="48" t="s">
        <v>276</v>
      </c>
      <c r="C135" s="48" t="s">
        <v>232</v>
      </c>
      <c r="D135" s="48" t="s">
        <v>233</v>
      </c>
      <c r="E135" s="49" t="s">
        <v>287</v>
      </c>
      <c r="F135" s="50" t="s">
        <v>288</v>
      </c>
      <c r="G135" s="325" t="s">
        <v>322</v>
      </c>
      <c r="H135" s="48" t="s">
        <v>282</v>
      </c>
      <c r="I135" s="14" t="s">
        <v>894</v>
      </c>
      <c r="J135" s="9" t="s">
        <v>96</v>
      </c>
      <c r="K135" s="10">
        <v>2025</v>
      </c>
      <c r="L135" s="11" t="s">
        <v>56</v>
      </c>
      <c r="M135" s="11" t="s">
        <v>47</v>
      </c>
      <c r="N135" s="11" t="s">
        <v>47</v>
      </c>
      <c r="O135" s="12">
        <v>10</v>
      </c>
      <c r="P135" s="4" t="s">
        <v>323</v>
      </c>
      <c r="Q135" s="13"/>
      <c r="R135" s="14" t="s">
        <v>48</v>
      </c>
      <c r="S135" s="15" t="s">
        <v>49</v>
      </c>
      <c r="T135" s="15" t="s">
        <v>50</v>
      </c>
      <c r="U135" s="7" t="s">
        <v>160</v>
      </c>
      <c r="V135" s="7" t="s">
        <v>161</v>
      </c>
      <c r="W135" s="7" t="s">
        <v>162</v>
      </c>
      <c r="X135" s="7" t="s">
        <v>163</v>
      </c>
      <c r="Y135" s="16" t="s">
        <v>55</v>
      </c>
      <c r="Z135" s="21">
        <f>1524-Z134</f>
        <v>1124</v>
      </c>
      <c r="AA135" s="55">
        <v>0.5</v>
      </c>
      <c r="AB135" s="55">
        <v>0.5</v>
      </c>
      <c r="AC135" s="55"/>
      <c r="AD135" s="18">
        <f>+AA135+AB135+AC135</f>
        <v>1</v>
      </c>
      <c r="AE135" s="38"/>
      <c r="AF135" s="38"/>
      <c r="AG135" s="38"/>
      <c r="AH135" s="38">
        <f t="shared" si="75"/>
        <v>0</v>
      </c>
      <c r="AI135" s="38"/>
      <c r="AJ135" s="38"/>
      <c r="AK135" s="359"/>
      <c r="AL135" s="359"/>
      <c r="AM135" s="74">
        <f>+Z135+AI135-AJ135+AK135-AL135</f>
        <v>1124</v>
      </c>
      <c r="AN135" s="38"/>
      <c r="AO135" s="38"/>
      <c r="AP135" s="74">
        <f>+AM135+AN135-AO135</f>
        <v>1124</v>
      </c>
      <c r="AQ135" s="38"/>
      <c r="AR135" s="38"/>
      <c r="AS135" s="74">
        <f>+AP135+AQ135-AR135</f>
        <v>1124</v>
      </c>
      <c r="AT135" s="38"/>
      <c r="AU135" s="38"/>
      <c r="AV135" s="38">
        <f>+AS135+AT135-AU135</f>
        <v>1124</v>
      </c>
      <c r="AW135" s="38"/>
      <c r="AX135" s="38"/>
      <c r="AY135" s="38">
        <f>+AV135+AW135-AX135</f>
        <v>1124</v>
      </c>
      <c r="AZ135" s="38"/>
      <c r="BA135" s="38"/>
      <c r="BB135" s="38">
        <f>+AY135+AZ135-BA135</f>
        <v>1124</v>
      </c>
      <c r="BC135" s="74"/>
      <c r="BD135" s="74">
        <v>1124</v>
      </c>
      <c r="BE135" s="74">
        <f t="shared" si="54"/>
        <v>0</v>
      </c>
      <c r="BF135" s="74"/>
      <c r="BG135" s="74"/>
      <c r="BH135" s="38">
        <f t="shared" si="55"/>
        <v>0</v>
      </c>
      <c r="BI135" s="38"/>
      <c r="BJ135" s="38"/>
      <c r="BK135" s="38">
        <f t="shared" si="56"/>
        <v>0</v>
      </c>
      <c r="BL135" s="337" t="s">
        <v>56</v>
      </c>
      <c r="BM135" s="37"/>
      <c r="BN135" s="131"/>
      <c r="BO135" s="34"/>
      <c r="BP135" s="34"/>
      <c r="BQ135" s="34"/>
      <c r="BR135" s="34"/>
      <c r="BS135" s="34"/>
      <c r="BT135" s="34"/>
      <c r="BU135" s="34"/>
      <c r="BV135" s="34"/>
      <c r="BW135" s="95"/>
      <c r="BX135" s="95"/>
      <c r="BY135" s="95"/>
      <c r="BZ135" s="95"/>
      <c r="CA135" s="95"/>
      <c r="CB135" s="95"/>
      <c r="CC135" s="95"/>
      <c r="CD135" s="96"/>
      <c r="CE135" s="67"/>
      <c r="CF135" s="781">
        <f t="shared" si="53"/>
        <v>0</v>
      </c>
      <c r="CG135" s="133" t="s">
        <v>544</v>
      </c>
      <c r="CH135" s="133" t="s">
        <v>544</v>
      </c>
      <c r="CI135" s="133" t="s">
        <v>544</v>
      </c>
      <c r="CJ135" s="133"/>
      <c r="CK135" s="10"/>
      <c r="CL135" s="10"/>
      <c r="CM135" s="9"/>
      <c r="CN135" s="9"/>
      <c r="CO135" s="9"/>
      <c r="CP135" s="9" t="s">
        <v>372</v>
      </c>
      <c r="CQ135" s="9" t="s">
        <v>468</v>
      </c>
      <c r="CR135" s="75" t="s">
        <v>470</v>
      </c>
    </row>
    <row r="136" spans="1:96" s="19" customFormat="1" ht="148.19999999999999" customHeight="1" x14ac:dyDescent="0.3">
      <c r="A136" s="4" t="s">
        <v>899</v>
      </c>
      <c r="B136" s="8" t="s">
        <v>276</v>
      </c>
      <c r="C136" s="8" t="s">
        <v>277</v>
      </c>
      <c r="D136" s="8" t="s">
        <v>278</v>
      </c>
      <c r="E136" s="22" t="s">
        <v>171</v>
      </c>
      <c r="F136" s="40" t="s">
        <v>268</v>
      </c>
      <c r="G136" s="32" t="s">
        <v>294</v>
      </c>
      <c r="H136" s="8" t="s">
        <v>295</v>
      </c>
      <c r="I136" s="9" t="s">
        <v>895</v>
      </c>
      <c r="J136" s="9" t="s">
        <v>156</v>
      </c>
      <c r="K136" s="10">
        <v>2025</v>
      </c>
      <c r="L136" s="11" t="s">
        <v>46</v>
      </c>
      <c r="M136" s="11" t="s">
        <v>47</v>
      </c>
      <c r="N136" s="11" t="s">
        <v>47</v>
      </c>
      <c r="O136" s="12">
        <v>1</v>
      </c>
      <c r="P136" s="4" t="s">
        <v>296</v>
      </c>
      <c r="Q136" s="13"/>
      <c r="R136" s="14" t="s">
        <v>48</v>
      </c>
      <c r="S136" s="15" t="s">
        <v>49</v>
      </c>
      <c r="T136" s="15" t="s">
        <v>50</v>
      </c>
      <c r="U136" s="7" t="s">
        <v>160</v>
      </c>
      <c r="V136" s="7" t="s">
        <v>161</v>
      </c>
      <c r="W136" s="7" t="s">
        <v>162</v>
      </c>
      <c r="X136" s="7" t="s">
        <v>163</v>
      </c>
      <c r="Y136" s="16" t="s">
        <v>55</v>
      </c>
      <c r="Z136" s="21">
        <v>13268.68</v>
      </c>
      <c r="AA136" s="55"/>
      <c r="AB136" s="55">
        <v>1</v>
      </c>
      <c r="AC136" s="55"/>
      <c r="AD136" s="18">
        <f t="shared" si="44"/>
        <v>1</v>
      </c>
      <c r="AE136" s="38"/>
      <c r="AF136" s="38"/>
      <c r="AG136" s="38"/>
      <c r="AH136" s="38">
        <f t="shared" si="75"/>
        <v>0</v>
      </c>
      <c r="AI136" s="38"/>
      <c r="AJ136" s="38"/>
      <c r="AK136" s="359"/>
      <c r="AL136" s="359"/>
      <c r="AM136" s="74">
        <f t="shared" si="88"/>
        <v>13268.68</v>
      </c>
      <c r="AN136" s="38"/>
      <c r="AO136" s="38"/>
      <c r="AP136" s="74">
        <f t="shared" si="89"/>
        <v>13268.68</v>
      </c>
      <c r="AQ136" s="38"/>
      <c r="AR136" s="38"/>
      <c r="AS136" s="74">
        <f t="shared" si="90"/>
        <v>13268.68</v>
      </c>
      <c r="AT136" s="38"/>
      <c r="AU136" s="38"/>
      <c r="AV136" s="38">
        <f t="shared" si="91"/>
        <v>13268.68</v>
      </c>
      <c r="AW136" s="38"/>
      <c r="AX136" s="38"/>
      <c r="AY136" s="38">
        <f t="shared" si="92"/>
        <v>13268.68</v>
      </c>
      <c r="AZ136" s="38"/>
      <c r="BA136" s="38"/>
      <c r="BB136" s="38">
        <f t="shared" si="93"/>
        <v>13268.68</v>
      </c>
      <c r="BC136" s="74"/>
      <c r="BD136" s="74">
        <v>13268.68</v>
      </c>
      <c r="BE136" s="74">
        <f t="shared" si="54"/>
        <v>0</v>
      </c>
      <c r="BF136" s="74"/>
      <c r="BG136" s="74"/>
      <c r="BH136" s="38">
        <f t="shared" si="55"/>
        <v>0</v>
      </c>
      <c r="BI136" s="38"/>
      <c r="BJ136" s="38"/>
      <c r="BK136" s="38">
        <f t="shared" si="56"/>
        <v>0</v>
      </c>
      <c r="BL136" s="337" t="s">
        <v>56</v>
      </c>
      <c r="BM136" s="37"/>
      <c r="BN136" s="131"/>
      <c r="BO136" s="34"/>
      <c r="BP136" s="34"/>
      <c r="BQ136" s="34"/>
      <c r="BR136" s="34"/>
      <c r="BS136" s="34"/>
      <c r="BT136" s="34"/>
      <c r="BU136" s="34"/>
      <c r="BV136" s="34"/>
      <c r="BW136" s="95"/>
      <c r="BX136" s="95"/>
      <c r="BY136" s="95"/>
      <c r="BZ136" s="95"/>
      <c r="CA136" s="95"/>
      <c r="CB136" s="95"/>
      <c r="CC136" s="95"/>
      <c r="CD136" s="96"/>
      <c r="CE136" s="67"/>
      <c r="CF136" s="781">
        <f t="shared" si="53"/>
        <v>0</v>
      </c>
      <c r="CG136" s="420" t="s">
        <v>971</v>
      </c>
      <c r="CH136" s="134"/>
      <c r="CI136" s="412"/>
      <c r="CJ136" s="412"/>
      <c r="CK136" s="61">
        <v>45792</v>
      </c>
      <c r="CL136" s="61">
        <v>45810</v>
      </c>
      <c r="CM136" s="61" t="s">
        <v>375</v>
      </c>
      <c r="CN136" s="8" t="s">
        <v>376</v>
      </c>
      <c r="CO136" s="61" t="s">
        <v>362</v>
      </c>
      <c r="CP136" s="61" t="str">
        <f>+CM136</f>
        <v>RIOS RODRIGUEZ DAVID ALEXIS</v>
      </c>
      <c r="CQ136" s="9"/>
      <c r="CR136" s="9"/>
    </row>
    <row r="137" spans="1:96" s="19" customFormat="1" ht="148.19999999999999" customHeight="1" x14ac:dyDescent="0.3">
      <c r="A137" s="4" t="s">
        <v>899</v>
      </c>
      <c r="B137" s="8" t="s">
        <v>276</v>
      </c>
      <c r="C137" s="8" t="s">
        <v>277</v>
      </c>
      <c r="D137" s="8" t="s">
        <v>278</v>
      </c>
      <c r="E137" s="22" t="s">
        <v>212</v>
      </c>
      <c r="F137" s="41" t="s">
        <v>213</v>
      </c>
      <c r="G137" s="32" t="s">
        <v>294</v>
      </c>
      <c r="H137" s="8" t="s">
        <v>295</v>
      </c>
      <c r="I137" s="9" t="s">
        <v>895</v>
      </c>
      <c r="J137" s="9" t="s">
        <v>156</v>
      </c>
      <c r="K137" s="10">
        <v>2025</v>
      </c>
      <c r="L137" s="11" t="s">
        <v>46</v>
      </c>
      <c r="M137" s="11" t="s">
        <v>47</v>
      </c>
      <c r="N137" s="11" t="s">
        <v>47</v>
      </c>
      <c r="O137" s="12">
        <v>1</v>
      </c>
      <c r="P137" s="4" t="s">
        <v>296</v>
      </c>
      <c r="Q137" s="13"/>
      <c r="R137" s="14" t="s">
        <v>48</v>
      </c>
      <c r="S137" s="15" t="s">
        <v>49</v>
      </c>
      <c r="T137" s="15" t="s">
        <v>50</v>
      </c>
      <c r="U137" s="7" t="s">
        <v>160</v>
      </c>
      <c r="V137" s="7" t="s">
        <v>161</v>
      </c>
      <c r="W137" s="7" t="s">
        <v>162</v>
      </c>
      <c r="X137" s="7" t="s">
        <v>163</v>
      </c>
      <c r="Y137" s="16" t="s">
        <v>55</v>
      </c>
      <c r="Z137" s="21">
        <v>7270.82</v>
      </c>
      <c r="AA137" s="55"/>
      <c r="AB137" s="55">
        <v>1</v>
      </c>
      <c r="AC137" s="55"/>
      <c r="AD137" s="18">
        <f t="shared" si="44"/>
        <v>1</v>
      </c>
      <c r="AE137" s="38"/>
      <c r="AF137" s="38"/>
      <c r="AG137" s="38"/>
      <c r="AH137" s="38">
        <f t="shared" si="75"/>
        <v>0</v>
      </c>
      <c r="AI137" s="38"/>
      <c r="AJ137" s="38"/>
      <c r="AK137" s="359"/>
      <c r="AL137" s="359"/>
      <c r="AM137" s="74">
        <f t="shared" si="88"/>
        <v>7270.82</v>
      </c>
      <c r="AN137" s="38"/>
      <c r="AO137" s="38"/>
      <c r="AP137" s="74">
        <f t="shared" si="89"/>
        <v>7270.82</v>
      </c>
      <c r="AQ137" s="38"/>
      <c r="AR137" s="38"/>
      <c r="AS137" s="74">
        <f t="shared" si="90"/>
        <v>7270.82</v>
      </c>
      <c r="AT137" s="38"/>
      <c r="AU137" s="38"/>
      <c r="AV137" s="38">
        <f t="shared" si="91"/>
        <v>7270.82</v>
      </c>
      <c r="AW137" s="38"/>
      <c r="AX137" s="38"/>
      <c r="AY137" s="38">
        <f t="shared" si="92"/>
        <v>7270.82</v>
      </c>
      <c r="AZ137" s="38"/>
      <c r="BA137" s="38"/>
      <c r="BB137" s="38">
        <f t="shared" si="93"/>
        <v>7270.82</v>
      </c>
      <c r="BC137" s="74"/>
      <c r="BD137" s="74">
        <v>7270.82</v>
      </c>
      <c r="BE137" s="74">
        <f t="shared" si="54"/>
        <v>0</v>
      </c>
      <c r="BF137" s="74"/>
      <c r="BG137" s="74"/>
      <c r="BH137" s="38">
        <f t="shared" si="55"/>
        <v>0</v>
      </c>
      <c r="BI137" s="38"/>
      <c r="BJ137" s="38"/>
      <c r="BK137" s="38">
        <f t="shared" si="56"/>
        <v>0</v>
      </c>
      <c r="BL137" s="337" t="s">
        <v>56</v>
      </c>
      <c r="BM137" s="37"/>
      <c r="BN137" s="131"/>
      <c r="BO137" s="34"/>
      <c r="BP137" s="67"/>
      <c r="BQ137" s="67"/>
      <c r="BR137" s="34"/>
      <c r="BS137" s="34"/>
      <c r="BT137" s="34"/>
      <c r="BU137" s="34"/>
      <c r="BV137" s="34"/>
      <c r="BW137" s="95"/>
      <c r="BX137" s="96"/>
      <c r="BY137" s="96"/>
      <c r="BZ137" s="96"/>
      <c r="CA137" s="96"/>
      <c r="CB137" s="96"/>
      <c r="CC137" s="95"/>
      <c r="CD137" s="96"/>
      <c r="CE137" s="67"/>
      <c r="CF137" s="781">
        <f t="shared" ref="CF137:CF157" si="103">+CE137-CD137</f>
        <v>0</v>
      </c>
      <c r="CG137" s="420" t="s">
        <v>971</v>
      </c>
      <c r="CH137" s="134"/>
      <c r="CI137" s="412"/>
      <c r="CJ137" s="412"/>
      <c r="CK137" s="61">
        <v>45792</v>
      </c>
      <c r="CL137" s="61">
        <v>45810</v>
      </c>
      <c r="CM137" s="61" t="s">
        <v>375</v>
      </c>
      <c r="CN137" s="8" t="s">
        <v>376</v>
      </c>
      <c r="CO137" s="61" t="s">
        <v>362</v>
      </c>
      <c r="CP137" s="61" t="str">
        <f>+CM137</f>
        <v>RIOS RODRIGUEZ DAVID ALEXIS</v>
      </c>
      <c r="CQ137" s="9"/>
      <c r="CR137" s="9"/>
    </row>
    <row r="138" spans="1:96" s="19" customFormat="1" ht="148.19999999999999" customHeight="1" x14ac:dyDescent="0.3">
      <c r="A138" s="4" t="s">
        <v>899</v>
      </c>
      <c r="B138" s="8" t="s">
        <v>276</v>
      </c>
      <c r="C138" s="8" t="s">
        <v>277</v>
      </c>
      <c r="D138" s="8" t="s">
        <v>278</v>
      </c>
      <c r="E138" s="22" t="s">
        <v>153</v>
      </c>
      <c r="F138" s="8" t="s">
        <v>154</v>
      </c>
      <c r="G138" s="32" t="s">
        <v>294</v>
      </c>
      <c r="H138" s="8" t="s">
        <v>295</v>
      </c>
      <c r="I138" s="9" t="s">
        <v>895</v>
      </c>
      <c r="J138" s="9" t="s">
        <v>156</v>
      </c>
      <c r="K138" s="10">
        <v>2025</v>
      </c>
      <c r="L138" s="11" t="s">
        <v>46</v>
      </c>
      <c r="M138" s="11" t="s">
        <v>47</v>
      </c>
      <c r="N138" s="11" t="s">
        <v>47</v>
      </c>
      <c r="O138" s="12">
        <v>1</v>
      </c>
      <c r="P138" s="4" t="s">
        <v>296</v>
      </c>
      <c r="Q138" s="13"/>
      <c r="R138" s="14" t="s">
        <v>48</v>
      </c>
      <c r="S138" s="15" t="s">
        <v>49</v>
      </c>
      <c r="T138" s="15" t="s">
        <v>50</v>
      </c>
      <c r="U138" s="7" t="s">
        <v>160</v>
      </c>
      <c r="V138" s="7" t="s">
        <v>161</v>
      </c>
      <c r="W138" s="7" t="s">
        <v>162</v>
      </c>
      <c r="X138" s="7" t="s">
        <v>163</v>
      </c>
      <c r="Y138" s="16" t="s">
        <v>55</v>
      </c>
      <c r="Z138" s="21">
        <f>1287.66+19454.82</f>
        <v>20742.48</v>
      </c>
      <c r="AA138" s="55"/>
      <c r="AB138" s="55">
        <v>1</v>
      </c>
      <c r="AC138" s="55"/>
      <c r="AD138" s="18">
        <f t="shared" si="44"/>
        <v>1</v>
      </c>
      <c r="AE138" s="38"/>
      <c r="AF138" s="38"/>
      <c r="AG138" s="38"/>
      <c r="AH138" s="38">
        <f t="shared" si="75"/>
        <v>0</v>
      </c>
      <c r="AI138" s="38"/>
      <c r="AJ138" s="38"/>
      <c r="AK138" s="359"/>
      <c r="AL138" s="359"/>
      <c r="AM138" s="74">
        <f t="shared" si="88"/>
        <v>20742.48</v>
      </c>
      <c r="AN138" s="38"/>
      <c r="AO138" s="38"/>
      <c r="AP138" s="74">
        <f t="shared" si="89"/>
        <v>20742.48</v>
      </c>
      <c r="AQ138" s="38"/>
      <c r="AR138" s="38"/>
      <c r="AS138" s="74">
        <f t="shared" si="90"/>
        <v>20742.48</v>
      </c>
      <c r="AT138" s="38"/>
      <c r="AU138" s="38"/>
      <c r="AV138" s="38">
        <f t="shared" si="91"/>
        <v>20742.48</v>
      </c>
      <c r="AW138" s="38"/>
      <c r="AX138" s="38"/>
      <c r="AY138" s="38">
        <f t="shared" si="92"/>
        <v>20742.48</v>
      </c>
      <c r="AZ138" s="38"/>
      <c r="BA138" s="38"/>
      <c r="BB138" s="38">
        <f t="shared" si="93"/>
        <v>20742.48</v>
      </c>
      <c r="BC138" s="74"/>
      <c r="BD138" s="74">
        <v>20742.48</v>
      </c>
      <c r="BE138" s="74">
        <f t="shared" si="54"/>
        <v>0</v>
      </c>
      <c r="BF138" s="74"/>
      <c r="BG138" s="74"/>
      <c r="BH138" s="38">
        <f t="shared" si="55"/>
        <v>0</v>
      </c>
      <c r="BI138" s="38"/>
      <c r="BJ138" s="38"/>
      <c r="BK138" s="38">
        <f t="shared" si="56"/>
        <v>0</v>
      </c>
      <c r="BL138" s="337" t="s">
        <v>56</v>
      </c>
      <c r="BM138" s="37"/>
      <c r="BN138" s="131"/>
      <c r="BO138" s="34"/>
      <c r="BP138" s="34"/>
      <c r="BQ138" s="34"/>
      <c r="BR138" s="34"/>
      <c r="BS138" s="34"/>
      <c r="BT138" s="34"/>
      <c r="BU138" s="34"/>
      <c r="BV138" s="34"/>
      <c r="BW138" s="95"/>
      <c r="BX138" s="95"/>
      <c r="BY138" s="95"/>
      <c r="BZ138" s="95"/>
      <c r="CA138" s="95"/>
      <c r="CB138" s="95"/>
      <c r="CC138" s="95"/>
      <c r="CD138" s="96"/>
      <c r="CE138" s="67"/>
      <c r="CF138" s="781">
        <f t="shared" si="103"/>
        <v>0</v>
      </c>
      <c r="CG138" s="420" t="s">
        <v>971</v>
      </c>
      <c r="CH138" s="134"/>
      <c r="CI138" s="412"/>
      <c r="CJ138" s="412"/>
      <c r="CK138" s="61">
        <v>45792</v>
      </c>
      <c r="CL138" s="61">
        <v>45810</v>
      </c>
      <c r="CM138" s="61" t="s">
        <v>375</v>
      </c>
      <c r="CN138" s="8" t="s">
        <v>376</v>
      </c>
      <c r="CO138" s="61" t="s">
        <v>362</v>
      </c>
      <c r="CP138" s="61" t="str">
        <f>+CM138</f>
        <v>RIOS RODRIGUEZ DAVID ALEXIS</v>
      </c>
      <c r="CQ138" s="9"/>
      <c r="CR138" s="9"/>
    </row>
    <row r="139" spans="1:96" s="19" customFormat="1" ht="126.6" customHeight="1" x14ac:dyDescent="0.3">
      <c r="A139" s="4" t="s">
        <v>899</v>
      </c>
      <c r="B139" s="8" t="s">
        <v>276</v>
      </c>
      <c r="C139" s="8" t="s">
        <v>277</v>
      </c>
      <c r="D139" s="8" t="s">
        <v>278</v>
      </c>
      <c r="E139" s="22" t="s">
        <v>171</v>
      </c>
      <c r="F139" s="40" t="s">
        <v>268</v>
      </c>
      <c r="G139" s="32" t="s">
        <v>297</v>
      </c>
      <c r="H139" s="24" t="s">
        <v>295</v>
      </c>
      <c r="I139" s="9" t="s">
        <v>895</v>
      </c>
      <c r="J139" s="9" t="s">
        <v>156</v>
      </c>
      <c r="K139" s="10">
        <v>2026</v>
      </c>
      <c r="L139" s="11" t="s">
        <v>46</v>
      </c>
      <c r="M139" s="11" t="s">
        <v>47</v>
      </c>
      <c r="N139" s="11" t="s">
        <v>47</v>
      </c>
      <c r="O139" s="12">
        <v>1</v>
      </c>
      <c r="P139" s="4" t="s">
        <v>298</v>
      </c>
      <c r="Q139" s="13"/>
      <c r="R139" s="14" t="s">
        <v>48</v>
      </c>
      <c r="S139" s="15" t="s">
        <v>49</v>
      </c>
      <c r="T139" s="15" t="s">
        <v>50</v>
      </c>
      <c r="U139" s="7" t="s">
        <v>160</v>
      </c>
      <c r="V139" s="7" t="s">
        <v>161</v>
      </c>
      <c r="W139" s="7" t="s">
        <v>162</v>
      </c>
      <c r="X139" s="7" t="s">
        <v>163</v>
      </c>
      <c r="Y139" s="16" t="s">
        <v>55</v>
      </c>
      <c r="Z139" s="34"/>
      <c r="AA139" s="55"/>
      <c r="AB139" s="55"/>
      <c r="AC139" s="55">
        <v>1</v>
      </c>
      <c r="AD139" s="18">
        <f t="shared" si="44"/>
        <v>1</v>
      </c>
      <c r="AE139" s="38"/>
      <c r="AF139" s="38"/>
      <c r="AG139" s="38">
        <f>+BK139</f>
        <v>37500.36</v>
      </c>
      <c r="AH139" s="38">
        <f t="shared" si="75"/>
        <v>37500.36</v>
      </c>
      <c r="AI139" s="38"/>
      <c r="AJ139" s="38"/>
      <c r="AK139" s="359"/>
      <c r="AL139" s="359"/>
      <c r="AM139" s="74">
        <f t="shared" si="88"/>
        <v>0</v>
      </c>
      <c r="AN139" s="38"/>
      <c r="AO139" s="38"/>
      <c r="AP139" s="74">
        <f t="shared" si="89"/>
        <v>0</v>
      </c>
      <c r="AQ139" s="38"/>
      <c r="AR139" s="38"/>
      <c r="AS139" s="74">
        <f t="shared" si="90"/>
        <v>0</v>
      </c>
      <c r="AT139" s="38"/>
      <c r="AU139" s="38"/>
      <c r="AV139" s="38">
        <f t="shared" si="91"/>
        <v>0</v>
      </c>
      <c r="AW139" s="38"/>
      <c r="AX139" s="38"/>
      <c r="AY139" s="38">
        <f t="shared" si="92"/>
        <v>0</v>
      </c>
      <c r="AZ139" s="38"/>
      <c r="BA139" s="38"/>
      <c r="BB139" s="38">
        <f t="shared" si="93"/>
        <v>0</v>
      </c>
      <c r="BC139" s="74">
        <v>51215.64</v>
      </c>
      <c r="BD139" s="74"/>
      <c r="BE139" s="74">
        <f t="shared" si="54"/>
        <v>51215.64</v>
      </c>
      <c r="BF139" s="74"/>
      <c r="BG139" s="74">
        <v>13715.28</v>
      </c>
      <c r="BH139" s="38">
        <f t="shared" ref="BH139:BH157" si="104">+BE139+BF139-BG139</f>
        <v>37500.36</v>
      </c>
      <c r="BI139" s="38"/>
      <c r="BJ139" s="38"/>
      <c r="BK139" s="38">
        <f t="shared" ref="BK139:BK157" si="105">+BH139+BI139-BJ139</f>
        <v>37500.36</v>
      </c>
      <c r="BL139" s="337" t="s">
        <v>177</v>
      </c>
      <c r="BM139" s="38">
        <v>69643.520000000004</v>
      </c>
      <c r="BN139" s="337"/>
      <c r="BO139" s="32" t="s">
        <v>998</v>
      </c>
      <c r="BP139" s="67">
        <v>37500.358</v>
      </c>
      <c r="BQ139" s="67"/>
      <c r="BR139" s="67">
        <v>69643.521999999997</v>
      </c>
      <c r="BS139" s="67"/>
      <c r="BT139" s="67"/>
      <c r="BU139" s="67"/>
      <c r="BV139" s="67"/>
      <c r="BW139" s="34" t="s">
        <v>999</v>
      </c>
      <c r="BX139" s="67">
        <v>37500.358</v>
      </c>
      <c r="BY139" s="67">
        <v>69643.521999999997</v>
      </c>
      <c r="BZ139" s="67"/>
      <c r="CA139" s="67"/>
      <c r="CB139" s="67"/>
      <c r="CC139" s="95"/>
      <c r="CD139" s="96"/>
      <c r="CE139" s="67"/>
      <c r="CF139" s="781">
        <f t="shared" si="103"/>
        <v>0</v>
      </c>
      <c r="CG139" s="135" t="s">
        <v>969</v>
      </c>
      <c r="CH139" s="413">
        <v>0.3</v>
      </c>
      <c r="CI139" s="423">
        <v>45952</v>
      </c>
      <c r="CJ139" s="423"/>
      <c r="CK139" s="61">
        <v>45731</v>
      </c>
      <c r="CL139" s="61">
        <v>45757</v>
      </c>
      <c r="CM139" s="61" t="s">
        <v>376</v>
      </c>
      <c r="CN139" s="8" t="s">
        <v>357</v>
      </c>
      <c r="CO139" s="8" t="s">
        <v>335</v>
      </c>
      <c r="CP139" s="61" t="str">
        <f t="shared" si="100"/>
        <v>SAULA SANGOQUIZA DOUGLAS DANIEL</v>
      </c>
      <c r="CQ139" s="9"/>
      <c r="CR139" s="9"/>
    </row>
    <row r="140" spans="1:96" s="19" customFormat="1" ht="126.6" customHeight="1" x14ac:dyDescent="0.3">
      <c r="A140" s="4" t="s">
        <v>899</v>
      </c>
      <c r="B140" s="8" t="s">
        <v>276</v>
      </c>
      <c r="C140" s="8" t="s">
        <v>277</v>
      </c>
      <c r="D140" s="8" t="s">
        <v>278</v>
      </c>
      <c r="E140" s="22" t="s">
        <v>212</v>
      </c>
      <c r="F140" s="40" t="s">
        <v>409</v>
      </c>
      <c r="G140" s="32" t="s">
        <v>297</v>
      </c>
      <c r="H140" s="24" t="s">
        <v>295</v>
      </c>
      <c r="I140" s="9" t="s">
        <v>895</v>
      </c>
      <c r="J140" s="9" t="s">
        <v>156</v>
      </c>
      <c r="K140" s="10">
        <v>2026</v>
      </c>
      <c r="L140" s="11" t="s">
        <v>46</v>
      </c>
      <c r="M140" s="11" t="s">
        <v>47</v>
      </c>
      <c r="N140" s="11" t="s">
        <v>47</v>
      </c>
      <c r="O140" s="12">
        <v>1</v>
      </c>
      <c r="P140" s="4" t="s">
        <v>298</v>
      </c>
      <c r="Q140" s="13"/>
      <c r="R140" s="14" t="s">
        <v>48</v>
      </c>
      <c r="S140" s="15" t="s">
        <v>49</v>
      </c>
      <c r="T140" s="15" t="s">
        <v>50</v>
      </c>
      <c r="U140" s="7" t="s">
        <v>160</v>
      </c>
      <c r="V140" s="7" t="s">
        <v>161</v>
      </c>
      <c r="W140" s="7" t="s">
        <v>162</v>
      </c>
      <c r="X140" s="7" t="s">
        <v>163</v>
      </c>
      <c r="Y140" s="16" t="s">
        <v>55</v>
      </c>
      <c r="Z140" s="34"/>
      <c r="AA140" s="55"/>
      <c r="AB140" s="55"/>
      <c r="AC140" s="55">
        <v>1</v>
      </c>
      <c r="AD140" s="18">
        <f t="shared" ref="AD140:AD142" si="106">+AA140+AB140+AC140</f>
        <v>1</v>
      </c>
      <c r="AE140" s="38"/>
      <c r="AF140" s="38"/>
      <c r="AG140" s="38">
        <f>+BK140</f>
        <v>0</v>
      </c>
      <c r="AH140" s="38">
        <f t="shared" si="75"/>
        <v>0</v>
      </c>
      <c r="AI140" s="38"/>
      <c r="AJ140" s="38"/>
      <c r="AK140" s="359"/>
      <c r="AL140" s="359"/>
      <c r="AM140" s="74">
        <f t="shared" ref="AM140:AM142" si="107">+Z140+AI140-AJ140+AK140-AL140</f>
        <v>0</v>
      </c>
      <c r="AN140" s="38"/>
      <c r="AO140" s="38"/>
      <c r="AP140" s="74">
        <f t="shared" ref="AP140:AP142" si="108">+AM140+AN140-AO140</f>
        <v>0</v>
      </c>
      <c r="AQ140" s="38"/>
      <c r="AR140" s="38"/>
      <c r="AS140" s="74">
        <f t="shared" ref="AS140:AS142" si="109">+AP140+AQ140-AR140</f>
        <v>0</v>
      </c>
      <c r="AT140" s="38"/>
      <c r="AU140" s="38"/>
      <c r="AV140" s="38">
        <f t="shared" ref="AV140:AV142" si="110">+AS140+AT140-AU140</f>
        <v>0</v>
      </c>
      <c r="AW140" s="38"/>
      <c r="AX140" s="38"/>
      <c r="AY140" s="38">
        <f t="shared" ref="AY140:AY142" si="111">+AV140+AW140-AX140</f>
        <v>0</v>
      </c>
      <c r="AZ140" s="38"/>
      <c r="BA140" s="38"/>
      <c r="BB140" s="38">
        <f t="shared" ref="BB140:BB142" si="112">+AY140+AZ140-BA140</f>
        <v>0</v>
      </c>
      <c r="BC140" s="74">
        <v>54.44</v>
      </c>
      <c r="BD140" s="74"/>
      <c r="BE140" s="74">
        <f t="shared" si="54"/>
        <v>54.44</v>
      </c>
      <c r="BF140" s="74"/>
      <c r="BG140" s="74">
        <v>54.44</v>
      </c>
      <c r="BH140" s="38">
        <f t="shared" si="104"/>
        <v>0</v>
      </c>
      <c r="BI140" s="38"/>
      <c r="BJ140" s="38"/>
      <c r="BK140" s="38">
        <f t="shared" si="105"/>
        <v>0</v>
      </c>
      <c r="BL140" s="337" t="s">
        <v>177</v>
      </c>
      <c r="BM140" s="38">
        <v>0</v>
      </c>
      <c r="BN140" s="337"/>
      <c r="BO140" s="34"/>
      <c r="BP140" s="67">
        <v>0</v>
      </c>
      <c r="BQ140" s="67"/>
      <c r="BR140" s="34"/>
      <c r="BS140" s="34"/>
      <c r="BT140" s="34"/>
      <c r="BU140" s="34"/>
      <c r="BV140" s="34"/>
      <c r="BW140" s="95"/>
      <c r="BX140" s="96">
        <v>0</v>
      </c>
      <c r="BY140" s="96">
        <v>0</v>
      </c>
      <c r="BZ140" s="96"/>
      <c r="CA140" s="96"/>
      <c r="CB140" s="96"/>
      <c r="CC140" s="95"/>
      <c r="CD140" s="96"/>
      <c r="CE140" s="67"/>
      <c r="CF140" s="781">
        <f t="shared" si="103"/>
        <v>0</v>
      </c>
      <c r="CG140" s="135" t="s">
        <v>969</v>
      </c>
      <c r="CH140" s="413">
        <v>0.3</v>
      </c>
      <c r="CI140" s="423">
        <v>45952</v>
      </c>
      <c r="CJ140" s="423"/>
      <c r="CK140" s="61">
        <v>45731</v>
      </c>
      <c r="CL140" s="61">
        <v>45757</v>
      </c>
      <c r="CM140" s="61" t="s">
        <v>376</v>
      </c>
      <c r="CN140" s="8" t="s">
        <v>357</v>
      </c>
      <c r="CO140" s="8" t="s">
        <v>335</v>
      </c>
      <c r="CP140" s="61" t="str">
        <f t="shared" ref="CP140:CP142" si="113">+CM140</f>
        <v>SAULA SANGOQUIZA DOUGLAS DANIEL</v>
      </c>
      <c r="CQ140" s="9"/>
      <c r="CR140" s="9"/>
    </row>
    <row r="141" spans="1:96" s="19" customFormat="1" ht="126.6" customHeight="1" x14ac:dyDescent="0.3">
      <c r="A141" s="4" t="s">
        <v>899</v>
      </c>
      <c r="B141" s="8" t="s">
        <v>276</v>
      </c>
      <c r="C141" s="8" t="s">
        <v>277</v>
      </c>
      <c r="D141" s="8" t="s">
        <v>278</v>
      </c>
      <c r="E141" s="22" t="s">
        <v>559</v>
      </c>
      <c r="F141" s="40" t="s">
        <v>561</v>
      </c>
      <c r="G141" s="32" t="s">
        <v>297</v>
      </c>
      <c r="H141" s="24" t="s">
        <v>295</v>
      </c>
      <c r="I141" s="9" t="s">
        <v>895</v>
      </c>
      <c r="J141" s="9" t="s">
        <v>156</v>
      </c>
      <c r="K141" s="10">
        <v>2026</v>
      </c>
      <c r="L141" s="11" t="s">
        <v>46</v>
      </c>
      <c r="M141" s="11" t="s">
        <v>47</v>
      </c>
      <c r="N141" s="11" t="s">
        <v>47</v>
      </c>
      <c r="O141" s="12">
        <v>1</v>
      </c>
      <c r="P141" s="4" t="s">
        <v>298</v>
      </c>
      <c r="Q141" s="13"/>
      <c r="R141" s="14" t="s">
        <v>48</v>
      </c>
      <c r="S141" s="15" t="s">
        <v>49</v>
      </c>
      <c r="T141" s="15" t="s">
        <v>50</v>
      </c>
      <c r="U141" s="7" t="s">
        <v>160</v>
      </c>
      <c r="V141" s="7" t="s">
        <v>161</v>
      </c>
      <c r="W141" s="7" t="s">
        <v>162</v>
      </c>
      <c r="X141" s="7" t="s">
        <v>163</v>
      </c>
      <c r="Y141" s="16" t="s">
        <v>55</v>
      </c>
      <c r="Z141" s="34"/>
      <c r="AA141" s="55"/>
      <c r="AB141" s="55"/>
      <c r="AC141" s="55">
        <v>1</v>
      </c>
      <c r="AD141" s="18">
        <f t="shared" si="106"/>
        <v>1</v>
      </c>
      <c r="AE141" s="38"/>
      <c r="AF141" s="38"/>
      <c r="AG141" s="38">
        <f>+BK141</f>
        <v>44851.45</v>
      </c>
      <c r="AH141" s="38">
        <f t="shared" si="75"/>
        <v>44851.45</v>
      </c>
      <c r="AI141" s="38"/>
      <c r="AJ141" s="38"/>
      <c r="AK141" s="359"/>
      <c r="AL141" s="359"/>
      <c r="AM141" s="74">
        <f t="shared" si="107"/>
        <v>0</v>
      </c>
      <c r="AN141" s="38"/>
      <c r="AO141" s="38"/>
      <c r="AP141" s="74">
        <f t="shared" si="108"/>
        <v>0</v>
      </c>
      <c r="AQ141" s="38"/>
      <c r="AR141" s="38"/>
      <c r="AS141" s="74">
        <f t="shared" si="109"/>
        <v>0</v>
      </c>
      <c r="AT141" s="38"/>
      <c r="AU141" s="38"/>
      <c r="AV141" s="38">
        <f t="shared" si="110"/>
        <v>0</v>
      </c>
      <c r="AW141" s="38"/>
      <c r="AX141" s="38"/>
      <c r="AY141" s="38">
        <f t="shared" si="111"/>
        <v>0</v>
      </c>
      <c r="AZ141" s="38"/>
      <c r="BA141" s="38"/>
      <c r="BB141" s="38">
        <f t="shared" si="112"/>
        <v>0</v>
      </c>
      <c r="BC141" s="74">
        <v>26415.39</v>
      </c>
      <c r="BD141" s="74"/>
      <c r="BE141" s="74">
        <f t="shared" si="54"/>
        <v>26415.39</v>
      </c>
      <c r="BF141" s="74">
        <f>18334.01+102.05</f>
        <v>18436.059999999998</v>
      </c>
      <c r="BG141" s="74"/>
      <c r="BH141" s="38">
        <f t="shared" si="104"/>
        <v>44851.45</v>
      </c>
      <c r="BI141" s="38"/>
      <c r="BJ141" s="38"/>
      <c r="BK141" s="38">
        <f t="shared" si="105"/>
        <v>44851.45</v>
      </c>
      <c r="BL141" s="337" t="s">
        <v>177</v>
      </c>
      <c r="BM141" s="38">
        <v>83295.58</v>
      </c>
      <c r="BN141" s="337"/>
      <c r="BO141" s="32" t="s">
        <v>998</v>
      </c>
      <c r="BP141" s="67">
        <v>44749.396999999997</v>
      </c>
      <c r="BQ141" s="67"/>
      <c r="BR141" s="67">
        <v>83106.023000000001</v>
      </c>
      <c r="BS141" s="67"/>
      <c r="BT141" s="67"/>
      <c r="BU141" s="67"/>
      <c r="BV141" s="67"/>
      <c r="BW141" s="34" t="s">
        <v>999</v>
      </c>
      <c r="BX141" s="67">
        <v>44749.396999999997</v>
      </c>
      <c r="BY141" s="67">
        <v>83106.023000000001</v>
      </c>
      <c r="BZ141" s="67"/>
      <c r="CA141" s="67"/>
      <c r="CB141" s="67"/>
      <c r="CC141" s="95"/>
      <c r="CD141" s="96"/>
      <c r="CE141" s="67"/>
      <c r="CF141" s="781">
        <f t="shared" si="103"/>
        <v>0</v>
      </c>
      <c r="CG141" s="135" t="s">
        <v>969</v>
      </c>
      <c r="CH141" s="413">
        <v>0.3</v>
      </c>
      <c r="CI141" s="423">
        <v>45952</v>
      </c>
      <c r="CJ141" s="423"/>
      <c r="CK141" s="61">
        <v>45731</v>
      </c>
      <c r="CL141" s="61">
        <v>45757</v>
      </c>
      <c r="CM141" s="61" t="s">
        <v>376</v>
      </c>
      <c r="CN141" s="8" t="s">
        <v>357</v>
      </c>
      <c r="CO141" s="8" t="s">
        <v>335</v>
      </c>
      <c r="CP141" s="61" t="str">
        <f t="shared" si="113"/>
        <v>SAULA SANGOQUIZA DOUGLAS DANIEL</v>
      </c>
      <c r="CQ141" s="9"/>
      <c r="CR141" s="9"/>
    </row>
    <row r="142" spans="1:96" s="19" customFormat="1" ht="126.6" customHeight="1" x14ac:dyDescent="0.3">
      <c r="A142" s="4" t="s">
        <v>899</v>
      </c>
      <c r="B142" s="8" t="s">
        <v>276</v>
      </c>
      <c r="C142" s="8" t="s">
        <v>277</v>
      </c>
      <c r="D142" s="8" t="s">
        <v>278</v>
      </c>
      <c r="E142" s="22" t="s">
        <v>560</v>
      </c>
      <c r="F142" s="40" t="s">
        <v>562</v>
      </c>
      <c r="G142" s="32" t="s">
        <v>297</v>
      </c>
      <c r="H142" s="24" t="s">
        <v>295</v>
      </c>
      <c r="I142" s="9" t="s">
        <v>895</v>
      </c>
      <c r="J142" s="9" t="s">
        <v>156</v>
      </c>
      <c r="K142" s="10">
        <v>2026</v>
      </c>
      <c r="L142" s="11" t="s">
        <v>46</v>
      </c>
      <c r="M142" s="11" t="s">
        <v>47</v>
      </c>
      <c r="N142" s="11" t="s">
        <v>47</v>
      </c>
      <c r="O142" s="12">
        <v>1</v>
      </c>
      <c r="P142" s="4" t="s">
        <v>298</v>
      </c>
      <c r="Q142" s="13"/>
      <c r="R142" s="14" t="s">
        <v>48</v>
      </c>
      <c r="S142" s="15" t="s">
        <v>49</v>
      </c>
      <c r="T142" s="15" t="s">
        <v>50</v>
      </c>
      <c r="U142" s="7" t="s">
        <v>160</v>
      </c>
      <c r="V142" s="7" t="s">
        <v>161</v>
      </c>
      <c r="W142" s="7" t="s">
        <v>162</v>
      </c>
      <c r="X142" s="7" t="s">
        <v>163</v>
      </c>
      <c r="Y142" s="16" t="s">
        <v>55</v>
      </c>
      <c r="Z142" s="34"/>
      <c r="AA142" s="55"/>
      <c r="AB142" s="55"/>
      <c r="AC142" s="55">
        <v>1</v>
      </c>
      <c r="AD142" s="18">
        <f t="shared" si="106"/>
        <v>1</v>
      </c>
      <c r="AE142" s="38"/>
      <c r="AF142" s="38"/>
      <c r="AG142" s="38">
        <f>+BK142</f>
        <v>0</v>
      </c>
      <c r="AH142" s="38">
        <f t="shared" si="75"/>
        <v>0</v>
      </c>
      <c r="AI142" s="38"/>
      <c r="AJ142" s="38"/>
      <c r="AK142" s="359"/>
      <c r="AL142" s="359"/>
      <c r="AM142" s="74">
        <f t="shared" si="107"/>
        <v>0</v>
      </c>
      <c r="AN142" s="38"/>
      <c r="AO142" s="38"/>
      <c r="AP142" s="74">
        <f t="shared" si="108"/>
        <v>0</v>
      </c>
      <c r="AQ142" s="38"/>
      <c r="AR142" s="38"/>
      <c r="AS142" s="74">
        <f t="shared" si="109"/>
        <v>0</v>
      </c>
      <c r="AT142" s="38"/>
      <c r="AU142" s="38"/>
      <c r="AV142" s="38">
        <f t="shared" si="110"/>
        <v>0</v>
      </c>
      <c r="AW142" s="38"/>
      <c r="AX142" s="38"/>
      <c r="AY142" s="38">
        <f t="shared" si="111"/>
        <v>0</v>
      </c>
      <c r="AZ142" s="38"/>
      <c r="BA142" s="38"/>
      <c r="BB142" s="38">
        <f t="shared" si="112"/>
        <v>0</v>
      </c>
      <c r="BC142" s="74">
        <v>4666.3399999999992</v>
      </c>
      <c r="BD142" s="74"/>
      <c r="BE142" s="74">
        <f t="shared" ref="BE142:BE157" si="114">+BB142+BC142-BD142</f>
        <v>4666.3399999999992</v>
      </c>
      <c r="BF142" s="74"/>
      <c r="BG142" s="74">
        <f>+BE142</f>
        <v>4666.3399999999992</v>
      </c>
      <c r="BH142" s="38">
        <f t="shared" si="104"/>
        <v>0</v>
      </c>
      <c r="BI142" s="38"/>
      <c r="BJ142" s="38"/>
      <c r="BK142" s="38">
        <f t="shared" si="105"/>
        <v>0</v>
      </c>
      <c r="BL142" s="337" t="s">
        <v>177</v>
      </c>
      <c r="BM142" s="38">
        <v>0</v>
      </c>
      <c r="BN142" s="337"/>
      <c r="BO142" s="34"/>
      <c r="BP142" s="34"/>
      <c r="BQ142" s="34"/>
      <c r="BR142" s="34"/>
      <c r="BS142" s="34"/>
      <c r="BT142" s="34"/>
      <c r="BU142" s="34"/>
      <c r="BV142" s="34"/>
      <c r="BW142" s="95"/>
      <c r="BX142" s="95"/>
      <c r="BY142" s="95"/>
      <c r="BZ142" s="95"/>
      <c r="CA142" s="95"/>
      <c r="CB142" s="95"/>
      <c r="CC142" s="95"/>
      <c r="CD142" s="96"/>
      <c r="CE142" s="67"/>
      <c r="CF142" s="781">
        <f t="shared" si="103"/>
        <v>0</v>
      </c>
      <c r="CG142" s="135" t="s">
        <v>969</v>
      </c>
      <c r="CH142" s="413">
        <v>0.3</v>
      </c>
      <c r="CI142" s="423">
        <v>45952</v>
      </c>
      <c r="CJ142" s="423"/>
      <c r="CK142" s="61">
        <v>45731</v>
      </c>
      <c r="CL142" s="61">
        <v>45757</v>
      </c>
      <c r="CM142" s="61" t="s">
        <v>376</v>
      </c>
      <c r="CN142" s="8" t="s">
        <v>357</v>
      </c>
      <c r="CO142" s="8" t="s">
        <v>335</v>
      </c>
      <c r="CP142" s="61" t="str">
        <f t="shared" si="113"/>
        <v>SAULA SANGOQUIZA DOUGLAS DANIEL</v>
      </c>
      <c r="CQ142" s="9"/>
      <c r="CR142" s="9"/>
    </row>
    <row r="143" spans="1:96" s="19" customFormat="1" ht="129" customHeight="1" x14ac:dyDescent="0.3">
      <c r="A143" s="4" t="s">
        <v>899</v>
      </c>
      <c r="B143" s="8" t="s">
        <v>276</v>
      </c>
      <c r="C143" s="8" t="s">
        <v>277</v>
      </c>
      <c r="D143" s="8" t="s">
        <v>278</v>
      </c>
      <c r="E143" s="22" t="s">
        <v>171</v>
      </c>
      <c r="F143" s="40" t="s">
        <v>268</v>
      </c>
      <c r="G143" s="32" t="s">
        <v>299</v>
      </c>
      <c r="H143" s="8" t="s">
        <v>295</v>
      </c>
      <c r="I143" s="9" t="s">
        <v>895</v>
      </c>
      <c r="J143" s="9" t="s">
        <v>156</v>
      </c>
      <c r="K143" s="10">
        <v>2025</v>
      </c>
      <c r="L143" s="11" t="s">
        <v>46</v>
      </c>
      <c r="M143" s="11" t="s">
        <v>47</v>
      </c>
      <c r="N143" s="11" t="s">
        <v>47</v>
      </c>
      <c r="O143" s="12">
        <v>1</v>
      </c>
      <c r="P143" s="4" t="s">
        <v>300</v>
      </c>
      <c r="Q143" s="13"/>
      <c r="R143" s="14" t="s">
        <v>48</v>
      </c>
      <c r="S143" s="15" t="s">
        <v>49</v>
      </c>
      <c r="T143" s="15" t="s">
        <v>50</v>
      </c>
      <c r="U143" s="7" t="s">
        <v>160</v>
      </c>
      <c r="V143" s="7" t="s">
        <v>161</v>
      </c>
      <c r="W143" s="7" t="s">
        <v>162</v>
      </c>
      <c r="X143" s="7" t="s">
        <v>163</v>
      </c>
      <c r="Y143" s="16" t="s">
        <v>55</v>
      </c>
      <c r="Z143" s="21">
        <v>2989.8</v>
      </c>
      <c r="AA143" s="55"/>
      <c r="AB143" s="55"/>
      <c r="AC143" s="55">
        <v>1</v>
      </c>
      <c r="AD143" s="18">
        <f t="shared" si="44"/>
        <v>1</v>
      </c>
      <c r="AE143" s="38"/>
      <c r="AF143" s="38"/>
      <c r="AG143" s="38">
        <v>2989.8</v>
      </c>
      <c r="AH143" s="38">
        <f t="shared" si="75"/>
        <v>2989.8</v>
      </c>
      <c r="AI143" s="38"/>
      <c r="AJ143" s="38"/>
      <c r="AK143" s="359"/>
      <c r="AL143" s="359"/>
      <c r="AM143" s="74">
        <f t="shared" si="88"/>
        <v>2989.8</v>
      </c>
      <c r="AN143" s="38"/>
      <c r="AO143" s="38"/>
      <c r="AP143" s="74">
        <f t="shared" si="89"/>
        <v>2989.8</v>
      </c>
      <c r="AQ143" s="38"/>
      <c r="AR143" s="38"/>
      <c r="AS143" s="74">
        <f t="shared" si="90"/>
        <v>2989.8</v>
      </c>
      <c r="AT143" s="38"/>
      <c r="AU143" s="38"/>
      <c r="AV143" s="38">
        <f t="shared" si="91"/>
        <v>2989.8</v>
      </c>
      <c r="AW143" s="38"/>
      <c r="AX143" s="38"/>
      <c r="AY143" s="38">
        <f t="shared" si="92"/>
        <v>2989.8</v>
      </c>
      <c r="AZ143" s="38"/>
      <c r="BA143" s="38"/>
      <c r="BB143" s="38">
        <f t="shared" si="93"/>
        <v>2989.8</v>
      </c>
      <c r="BC143" s="74"/>
      <c r="BD143" s="74"/>
      <c r="BE143" s="74">
        <f t="shared" si="114"/>
        <v>2989.8</v>
      </c>
      <c r="BF143" s="74"/>
      <c r="BG143" s="74"/>
      <c r="BH143" s="38">
        <f t="shared" si="104"/>
        <v>2989.8</v>
      </c>
      <c r="BI143" s="38"/>
      <c r="BJ143" s="38"/>
      <c r="BK143" s="38">
        <f t="shared" si="105"/>
        <v>2989.8</v>
      </c>
      <c r="BL143" s="337" t="s">
        <v>56</v>
      </c>
      <c r="BM143" s="37"/>
      <c r="BN143" s="131"/>
      <c r="BO143" s="34"/>
      <c r="BP143" s="34"/>
      <c r="BQ143" s="34"/>
      <c r="BR143" s="34"/>
      <c r="BS143" s="34"/>
      <c r="BT143" s="34"/>
      <c r="BU143" s="34"/>
      <c r="BV143" s="34"/>
      <c r="BW143" s="95"/>
      <c r="BX143" s="95"/>
      <c r="BY143" s="95"/>
      <c r="BZ143" s="95"/>
      <c r="CA143" s="95"/>
      <c r="CB143" s="95"/>
      <c r="CC143" s="95"/>
      <c r="CD143" s="96"/>
      <c r="CE143" s="67"/>
      <c r="CF143" s="781">
        <f t="shared" si="103"/>
        <v>0</v>
      </c>
      <c r="CG143" s="421" t="s">
        <v>970</v>
      </c>
      <c r="CH143" s="422">
        <v>0.3</v>
      </c>
      <c r="CI143" s="423">
        <v>45954</v>
      </c>
      <c r="CJ143" s="423"/>
      <c r="CK143" s="61">
        <v>45713</v>
      </c>
      <c r="CL143" s="61">
        <v>45731</v>
      </c>
      <c r="CM143" s="65" t="s">
        <v>380</v>
      </c>
      <c r="CN143" s="8" t="s">
        <v>45</v>
      </c>
      <c r="CO143" s="61" t="s">
        <v>362</v>
      </c>
      <c r="CP143" s="61" t="str">
        <f t="shared" si="100"/>
        <v>VALIENTE CUCHIPE GLAUDIO RUBEN</v>
      </c>
      <c r="CQ143" s="75" t="s">
        <v>473</v>
      </c>
      <c r="CR143" s="9"/>
    </row>
    <row r="144" spans="1:96" s="19" customFormat="1" ht="156.6" customHeight="1" x14ac:dyDescent="0.3">
      <c r="A144" s="4" t="s">
        <v>899</v>
      </c>
      <c r="B144" s="8" t="s">
        <v>276</v>
      </c>
      <c r="C144" s="8" t="s">
        <v>277</v>
      </c>
      <c r="D144" s="8" t="s">
        <v>278</v>
      </c>
      <c r="E144" s="22" t="s">
        <v>301</v>
      </c>
      <c r="F144" s="42" t="s">
        <v>154</v>
      </c>
      <c r="G144" s="32" t="s">
        <v>299</v>
      </c>
      <c r="H144" s="8" t="s">
        <v>295</v>
      </c>
      <c r="I144" s="9" t="s">
        <v>895</v>
      </c>
      <c r="J144" s="9" t="s">
        <v>156</v>
      </c>
      <c r="K144" s="10">
        <v>2025</v>
      </c>
      <c r="L144" s="11" t="s">
        <v>46</v>
      </c>
      <c r="M144" s="11" t="s">
        <v>47</v>
      </c>
      <c r="N144" s="11" t="s">
        <v>47</v>
      </c>
      <c r="O144" s="12">
        <v>1</v>
      </c>
      <c r="P144" s="4" t="s">
        <v>300</v>
      </c>
      <c r="Q144" s="13"/>
      <c r="R144" s="14" t="s">
        <v>48</v>
      </c>
      <c r="S144" s="15" t="s">
        <v>49</v>
      </c>
      <c r="T144" s="15" t="s">
        <v>50</v>
      </c>
      <c r="U144" s="7" t="s">
        <v>160</v>
      </c>
      <c r="V144" s="7" t="s">
        <v>161</v>
      </c>
      <c r="W144" s="7" t="s">
        <v>162</v>
      </c>
      <c r="X144" s="7" t="s">
        <v>163</v>
      </c>
      <c r="Y144" s="16" t="s">
        <v>55</v>
      </c>
      <c r="Z144" s="21">
        <v>836</v>
      </c>
      <c r="AA144" s="55"/>
      <c r="AB144" s="55"/>
      <c r="AC144" s="55">
        <v>1</v>
      </c>
      <c r="AD144" s="18">
        <f t="shared" si="44"/>
        <v>1</v>
      </c>
      <c r="AE144" s="38"/>
      <c r="AF144" s="38"/>
      <c r="AG144" s="38">
        <v>836</v>
      </c>
      <c r="AH144" s="38">
        <f t="shared" si="75"/>
        <v>836</v>
      </c>
      <c r="AI144" s="38"/>
      <c r="AJ144" s="38"/>
      <c r="AK144" s="359"/>
      <c r="AL144" s="359"/>
      <c r="AM144" s="74">
        <f t="shared" si="88"/>
        <v>836</v>
      </c>
      <c r="AN144" s="38"/>
      <c r="AO144" s="38"/>
      <c r="AP144" s="74">
        <f t="shared" si="89"/>
        <v>836</v>
      </c>
      <c r="AQ144" s="38"/>
      <c r="AR144" s="38"/>
      <c r="AS144" s="74">
        <f t="shared" si="90"/>
        <v>836</v>
      </c>
      <c r="AT144" s="38"/>
      <c r="AU144" s="38"/>
      <c r="AV144" s="38">
        <f t="shared" si="91"/>
        <v>836</v>
      </c>
      <c r="AW144" s="38"/>
      <c r="AX144" s="38"/>
      <c r="AY144" s="38">
        <f t="shared" si="92"/>
        <v>836</v>
      </c>
      <c r="AZ144" s="38"/>
      <c r="BA144" s="38"/>
      <c r="BB144" s="38">
        <f t="shared" si="93"/>
        <v>836</v>
      </c>
      <c r="BC144" s="74"/>
      <c r="BD144" s="74"/>
      <c r="BE144" s="74">
        <f t="shared" si="114"/>
        <v>836</v>
      </c>
      <c r="BF144" s="74"/>
      <c r="BG144" s="74"/>
      <c r="BH144" s="38">
        <f t="shared" si="104"/>
        <v>836</v>
      </c>
      <c r="BI144" s="38"/>
      <c r="BJ144" s="38"/>
      <c r="BK144" s="38">
        <f t="shared" si="105"/>
        <v>836</v>
      </c>
      <c r="BL144" s="337" t="s">
        <v>56</v>
      </c>
      <c r="BM144" s="37"/>
      <c r="BN144" s="131"/>
      <c r="BO144" s="34"/>
      <c r="BP144" s="34"/>
      <c r="BQ144" s="34"/>
      <c r="BR144" s="34"/>
      <c r="BS144" s="34"/>
      <c r="BT144" s="34"/>
      <c r="BU144" s="34"/>
      <c r="BV144" s="34"/>
      <c r="BW144" s="95"/>
      <c r="BX144" s="95"/>
      <c r="BY144" s="95"/>
      <c r="BZ144" s="95"/>
      <c r="CA144" s="95"/>
      <c r="CB144" s="95"/>
      <c r="CC144" s="95"/>
      <c r="CD144" s="96"/>
      <c r="CE144" s="67"/>
      <c r="CF144" s="781">
        <f t="shared" si="103"/>
        <v>0</v>
      </c>
      <c r="CG144" s="421" t="s">
        <v>970</v>
      </c>
      <c r="CH144" s="422">
        <v>0.3</v>
      </c>
      <c r="CI144" s="423">
        <v>45954</v>
      </c>
      <c r="CJ144" s="423"/>
      <c r="CK144" s="61">
        <v>45713</v>
      </c>
      <c r="CL144" s="61">
        <v>45731</v>
      </c>
      <c r="CM144" s="65" t="s">
        <v>380</v>
      </c>
      <c r="CN144" s="8" t="s">
        <v>45</v>
      </c>
      <c r="CO144" s="61" t="s">
        <v>362</v>
      </c>
      <c r="CP144" s="61" t="str">
        <f t="shared" si="100"/>
        <v>VALIENTE CUCHIPE GLAUDIO RUBEN</v>
      </c>
      <c r="CQ144" s="75" t="s">
        <v>473</v>
      </c>
      <c r="CR144" s="9"/>
    </row>
    <row r="145" spans="1:96" s="19" customFormat="1" ht="133.19999999999999" customHeight="1" x14ac:dyDescent="0.3">
      <c r="A145" s="4" t="s">
        <v>899</v>
      </c>
      <c r="B145" s="8" t="s">
        <v>276</v>
      </c>
      <c r="C145" s="8" t="s">
        <v>277</v>
      </c>
      <c r="D145" s="8" t="s">
        <v>278</v>
      </c>
      <c r="E145" s="22" t="s">
        <v>153</v>
      </c>
      <c r="F145" s="42" t="s">
        <v>154</v>
      </c>
      <c r="G145" s="32" t="s">
        <v>302</v>
      </c>
      <c r="H145" s="8" t="s">
        <v>295</v>
      </c>
      <c r="I145" s="9" t="s">
        <v>895</v>
      </c>
      <c r="J145" s="9" t="s">
        <v>156</v>
      </c>
      <c r="K145" s="10">
        <v>2025</v>
      </c>
      <c r="L145" s="11" t="s">
        <v>46</v>
      </c>
      <c r="M145" s="11" t="s">
        <v>47</v>
      </c>
      <c r="N145" s="11" t="s">
        <v>47</v>
      </c>
      <c r="O145" s="12">
        <v>1</v>
      </c>
      <c r="P145" s="4" t="s">
        <v>303</v>
      </c>
      <c r="Q145" s="13"/>
      <c r="R145" s="14" t="s">
        <v>48</v>
      </c>
      <c r="S145" s="15" t="s">
        <v>49</v>
      </c>
      <c r="T145" s="15" t="s">
        <v>50</v>
      </c>
      <c r="U145" s="7" t="s">
        <v>160</v>
      </c>
      <c r="V145" s="7" t="s">
        <v>161</v>
      </c>
      <c r="W145" s="7" t="s">
        <v>162</v>
      </c>
      <c r="X145" s="7" t="s">
        <v>163</v>
      </c>
      <c r="Y145" s="16" t="s">
        <v>55</v>
      </c>
      <c r="Z145" s="21">
        <v>288</v>
      </c>
      <c r="AA145" s="55"/>
      <c r="AB145" s="55"/>
      <c r="AC145" s="55">
        <v>1</v>
      </c>
      <c r="AD145" s="18">
        <f t="shared" si="44"/>
        <v>1</v>
      </c>
      <c r="AE145" s="38"/>
      <c r="AF145" s="38"/>
      <c r="AG145" s="38">
        <v>288</v>
      </c>
      <c r="AH145" s="38">
        <f t="shared" si="75"/>
        <v>288</v>
      </c>
      <c r="AI145" s="38"/>
      <c r="AJ145" s="38"/>
      <c r="AK145" s="359"/>
      <c r="AL145" s="359"/>
      <c r="AM145" s="74">
        <f t="shared" si="88"/>
        <v>288</v>
      </c>
      <c r="AN145" s="38"/>
      <c r="AO145" s="38"/>
      <c r="AP145" s="74">
        <f t="shared" si="89"/>
        <v>288</v>
      </c>
      <c r="AQ145" s="38"/>
      <c r="AR145" s="38"/>
      <c r="AS145" s="74">
        <f t="shared" si="90"/>
        <v>288</v>
      </c>
      <c r="AT145" s="38"/>
      <c r="AU145" s="38"/>
      <c r="AV145" s="38">
        <f t="shared" si="91"/>
        <v>288</v>
      </c>
      <c r="AW145" s="38"/>
      <c r="AX145" s="38"/>
      <c r="AY145" s="38">
        <f t="shared" si="92"/>
        <v>288</v>
      </c>
      <c r="AZ145" s="38"/>
      <c r="BA145" s="38"/>
      <c r="BB145" s="38">
        <f t="shared" si="93"/>
        <v>288</v>
      </c>
      <c r="BC145" s="74"/>
      <c r="BD145" s="74"/>
      <c r="BE145" s="74">
        <f t="shared" si="114"/>
        <v>288</v>
      </c>
      <c r="BF145" s="74"/>
      <c r="BG145" s="74"/>
      <c r="BH145" s="38">
        <f t="shared" si="104"/>
        <v>288</v>
      </c>
      <c r="BI145" s="38"/>
      <c r="BJ145" s="38"/>
      <c r="BK145" s="38">
        <f t="shared" si="105"/>
        <v>288</v>
      </c>
      <c r="BL145" s="337" t="s">
        <v>56</v>
      </c>
      <c r="BM145" s="37"/>
      <c r="BN145" s="131"/>
      <c r="BO145" s="34"/>
      <c r="BP145" s="34"/>
      <c r="BQ145" s="34"/>
      <c r="BR145" s="34"/>
      <c r="BS145" s="34"/>
      <c r="BT145" s="34"/>
      <c r="BU145" s="34"/>
      <c r="BV145" s="34"/>
      <c r="BW145" s="95"/>
      <c r="BX145" s="95"/>
      <c r="BY145" s="95"/>
      <c r="BZ145" s="95"/>
      <c r="CA145" s="95"/>
      <c r="CB145" s="95"/>
      <c r="CC145" s="95"/>
      <c r="CD145" s="96"/>
      <c r="CE145" s="67"/>
      <c r="CF145" s="781">
        <f t="shared" si="103"/>
        <v>0</v>
      </c>
      <c r="CG145" s="421" t="s">
        <v>970</v>
      </c>
      <c r="CH145" s="422">
        <v>0.3</v>
      </c>
      <c r="CI145" s="423">
        <v>45954</v>
      </c>
      <c r="CJ145" s="423"/>
      <c r="CK145" s="62">
        <v>45810</v>
      </c>
      <c r="CL145" s="62">
        <v>45817</v>
      </c>
      <c r="CM145" s="9" t="s">
        <v>381</v>
      </c>
      <c r="CN145" s="9" t="s">
        <v>45</v>
      </c>
      <c r="CO145" s="9" t="s">
        <v>377</v>
      </c>
      <c r="CP145" s="9" t="str">
        <f t="shared" si="100"/>
        <v>SANTI DAHUA FABIAN ELVIS</v>
      </c>
      <c r="CQ145" s="9"/>
      <c r="CR145" s="9"/>
    </row>
    <row r="146" spans="1:96" s="19" customFormat="1" ht="157.19999999999999" customHeight="1" x14ac:dyDescent="0.3">
      <c r="A146" s="4" t="s">
        <v>899</v>
      </c>
      <c r="B146" s="8" t="s">
        <v>276</v>
      </c>
      <c r="C146" s="8" t="s">
        <v>277</v>
      </c>
      <c r="D146" s="8" t="s">
        <v>278</v>
      </c>
      <c r="E146" s="22" t="s">
        <v>304</v>
      </c>
      <c r="F146" s="40" t="s">
        <v>305</v>
      </c>
      <c r="G146" s="32" t="s">
        <v>302</v>
      </c>
      <c r="H146" s="8" t="s">
        <v>295</v>
      </c>
      <c r="I146" s="9" t="s">
        <v>895</v>
      </c>
      <c r="J146" s="9" t="s">
        <v>156</v>
      </c>
      <c r="K146" s="10">
        <v>2025</v>
      </c>
      <c r="L146" s="11" t="s">
        <v>46</v>
      </c>
      <c r="M146" s="11" t="s">
        <v>47</v>
      </c>
      <c r="N146" s="11" t="s">
        <v>47</v>
      </c>
      <c r="O146" s="12">
        <v>1</v>
      </c>
      <c r="P146" s="4" t="s">
        <v>303</v>
      </c>
      <c r="Q146" s="13"/>
      <c r="R146" s="14" t="s">
        <v>48</v>
      </c>
      <c r="S146" s="15" t="s">
        <v>49</v>
      </c>
      <c r="T146" s="15" t="s">
        <v>50</v>
      </c>
      <c r="U146" s="7" t="s">
        <v>160</v>
      </c>
      <c r="V146" s="7" t="s">
        <v>161</v>
      </c>
      <c r="W146" s="7" t="s">
        <v>162</v>
      </c>
      <c r="X146" s="7" t="s">
        <v>163</v>
      </c>
      <c r="Y146" s="16" t="s">
        <v>55</v>
      </c>
      <c r="Z146" s="21">
        <v>40.4</v>
      </c>
      <c r="AA146" s="55"/>
      <c r="AB146" s="55"/>
      <c r="AC146" s="55">
        <v>1</v>
      </c>
      <c r="AD146" s="18">
        <f t="shared" si="44"/>
        <v>1</v>
      </c>
      <c r="AE146" s="38"/>
      <c r="AF146" s="38"/>
      <c r="AG146" s="38">
        <v>40.4</v>
      </c>
      <c r="AH146" s="38">
        <f t="shared" si="75"/>
        <v>40.4</v>
      </c>
      <c r="AI146" s="38"/>
      <c r="AJ146" s="38"/>
      <c r="AK146" s="359"/>
      <c r="AL146" s="359"/>
      <c r="AM146" s="74">
        <f t="shared" si="88"/>
        <v>40.4</v>
      </c>
      <c r="AN146" s="38"/>
      <c r="AO146" s="38"/>
      <c r="AP146" s="74">
        <f t="shared" si="89"/>
        <v>40.4</v>
      </c>
      <c r="AQ146" s="38"/>
      <c r="AR146" s="38"/>
      <c r="AS146" s="74">
        <f t="shared" si="90"/>
        <v>40.4</v>
      </c>
      <c r="AT146" s="38"/>
      <c r="AU146" s="38"/>
      <c r="AV146" s="38">
        <f t="shared" si="91"/>
        <v>40.4</v>
      </c>
      <c r="AW146" s="38"/>
      <c r="AX146" s="38"/>
      <c r="AY146" s="38">
        <f t="shared" si="92"/>
        <v>40.4</v>
      </c>
      <c r="AZ146" s="38"/>
      <c r="BA146" s="38"/>
      <c r="BB146" s="38">
        <f t="shared" si="93"/>
        <v>40.4</v>
      </c>
      <c r="BC146" s="74"/>
      <c r="BD146" s="74"/>
      <c r="BE146" s="74">
        <f t="shared" si="114"/>
        <v>40.4</v>
      </c>
      <c r="BF146" s="74"/>
      <c r="BG146" s="74"/>
      <c r="BH146" s="38">
        <f t="shared" si="104"/>
        <v>40.4</v>
      </c>
      <c r="BI146" s="38"/>
      <c r="BJ146" s="38"/>
      <c r="BK146" s="38">
        <f t="shared" si="105"/>
        <v>40.4</v>
      </c>
      <c r="BL146" s="337" t="s">
        <v>56</v>
      </c>
      <c r="BM146" s="37"/>
      <c r="BN146" s="131"/>
      <c r="BO146" s="34"/>
      <c r="BP146" s="34"/>
      <c r="BQ146" s="34"/>
      <c r="BR146" s="34"/>
      <c r="BS146" s="34"/>
      <c r="BT146" s="34"/>
      <c r="BU146" s="34"/>
      <c r="BV146" s="34"/>
      <c r="BW146" s="95"/>
      <c r="BX146" s="95"/>
      <c r="BY146" s="95"/>
      <c r="BZ146" s="95"/>
      <c r="CA146" s="95"/>
      <c r="CB146" s="95"/>
      <c r="CC146" s="95"/>
      <c r="CD146" s="96"/>
      <c r="CE146" s="67"/>
      <c r="CF146" s="781">
        <f t="shared" si="103"/>
        <v>0</v>
      </c>
      <c r="CG146" s="421" t="s">
        <v>970</v>
      </c>
      <c r="CH146" s="422">
        <v>0.3</v>
      </c>
      <c r="CI146" s="423">
        <v>45954</v>
      </c>
      <c r="CJ146" s="423"/>
      <c r="CK146" s="62">
        <v>45810</v>
      </c>
      <c r="CL146" s="62">
        <v>45817</v>
      </c>
      <c r="CM146" s="9" t="s">
        <v>381</v>
      </c>
      <c r="CN146" s="9" t="s">
        <v>45</v>
      </c>
      <c r="CO146" s="9" t="s">
        <v>377</v>
      </c>
      <c r="CP146" s="9" t="str">
        <f t="shared" si="100"/>
        <v>SANTI DAHUA FABIAN ELVIS</v>
      </c>
      <c r="CQ146" s="9"/>
      <c r="CR146" s="9"/>
    </row>
    <row r="147" spans="1:96" s="19" customFormat="1" ht="137.4" customHeight="1" x14ac:dyDescent="0.3">
      <c r="A147" s="4" t="s">
        <v>899</v>
      </c>
      <c r="B147" s="8" t="s">
        <v>276</v>
      </c>
      <c r="C147" s="8" t="s">
        <v>277</v>
      </c>
      <c r="D147" s="8" t="s">
        <v>278</v>
      </c>
      <c r="E147" s="42" t="s">
        <v>301</v>
      </c>
      <c r="F147" s="42" t="s">
        <v>154</v>
      </c>
      <c r="G147" s="32" t="s">
        <v>306</v>
      </c>
      <c r="H147" s="8" t="s">
        <v>295</v>
      </c>
      <c r="I147" s="9" t="s">
        <v>895</v>
      </c>
      <c r="J147" s="9" t="s">
        <v>156</v>
      </c>
      <c r="K147" s="10">
        <v>2025</v>
      </c>
      <c r="L147" s="11" t="s">
        <v>46</v>
      </c>
      <c r="M147" s="11" t="s">
        <v>47</v>
      </c>
      <c r="N147" s="11" t="s">
        <v>47</v>
      </c>
      <c r="O147" s="12">
        <v>1</v>
      </c>
      <c r="P147" s="4" t="s">
        <v>307</v>
      </c>
      <c r="Q147" s="13"/>
      <c r="R147" s="14" t="s">
        <v>48</v>
      </c>
      <c r="S147" s="15" t="s">
        <v>49</v>
      </c>
      <c r="T147" s="15" t="s">
        <v>50</v>
      </c>
      <c r="U147" s="7" t="s">
        <v>160</v>
      </c>
      <c r="V147" s="7" t="s">
        <v>161</v>
      </c>
      <c r="W147" s="7" t="s">
        <v>162</v>
      </c>
      <c r="X147" s="7" t="s">
        <v>163</v>
      </c>
      <c r="Y147" s="16" t="s">
        <v>55</v>
      </c>
      <c r="Z147" s="21">
        <v>11858.080000000002</v>
      </c>
      <c r="AA147" s="55">
        <v>1</v>
      </c>
      <c r="AB147" s="55"/>
      <c r="AC147" s="55"/>
      <c r="AD147" s="18">
        <f t="shared" si="44"/>
        <v>1</v>
      </c>
      <c r="AE147" s="38"/>
      <c r="AF147" s="38"/>
      <c r="AG147" s="38"/>
      <c r="AH147" s="38">
        <f t="shared" ref="AH147:AH157" si="115">+AE147+AF147+AG147</f>
        <v>0</v>
      </c>
      <c r="AI147" s="38"/>
      <c r="AJ147" s="38"/>
      <c r="AK147" s="359"/>
      <c r="AL147" s="359"/>
      <c r="AM147" s="74">
        <f t="shared" si="88"/>
        <v>11858.080000000002</v>
      </c>
      <c r="AN147" s="38"/>
      <c r="AO147" s="38"/>
      <c r="AP147" s="74">
        <f t="shared" si="89"/>
        <v>11858.080000000002</v>
      </c>
      <c r="AQ147" s="38"/>
      <c r="AR147" s="38"/>
      <c r="AS147" s="74">
        <f t="shared" si="90"/>
        <v>11858.080000000002</v>
      </c>
      <c r="AT147" s="38"/>
      <c r="AU147" s="38"/>
      <c r="AV147" s="38">
        <f t="shared" si="91"/>
        <v>11858.080000000002</v>
      </c>
      <c r="AW147" s="38"/>
      <c r="AX147" s="38"/>
      <c r="AY147" s="38">
        <f t="shared" si="92"/>
        <v>11858.080000000002</v>
      </c>
      <c r="AZ147" s="38"/>
      <c r="BA147" s="38"/>
      <c r="BB147" s="38">
        <f t="shared" si="93"/>
        <v>11858.080000000002</v>
      </c>
      <c r="BC147" s="74"/>
      <c r="BD147" s="74">
        <v>11858.08</v>
      </c>
      <c r="BE147" s="74">
        <f t="shared" si="114"/>
        <v>0</v>
      </c>
      <c r="BF147" s="74"/>
      <c r="BG147" s="74"/>
      <c r="BH147" s="38">
        <f t="shared" si="104"/>
        <v>0</v>
      </c>
      <c r="BI147" s="38"/>
      <c r="BJ147" s="38"/>
      <c r="BK147" s="38">
        <f t="shared" si="105"/>
        <v>0</v>
      </c>
      <c r="BL147" s="337" t="s">
        <v>56</v>
      </c>
      <c r="BM147" s="37"/>
      <c r="BN147" s="131"/>
      <c r="BO147" s="34"/>
      <c r="BP147" s="34"/>
      <c r="BQ147" s="34"/>
      <c r="BR147" s="34"/>
      <c r="BS147" s="34"/>
      <c r="BT147" s="34"/>
      <c r="BU147" s="34"/>
      <c r="BV147" s="34"/>
      <c r="BW147" s="95"/>
      <c r="BX147" s="95"/>
      <c r="BY147" s="95"/>
      <c r="BZ147" s="95"/>
      <c r="CA147" s="95"/>
      <c r="CB147" s="95"/>
      <c r="CC147" s="95"/>
      <c r="CD147" s="96"/>
      <c r="CE147" s="67"/>
      <c r="CF147" s="781">
        <f t="shared" si="103"/>
        <v>0</v>
      </c>
      <c r="CG147" s="420" t="s">
        <v>971</v>
      </c>
      <c r="CH147" s="134"/>
      <c r="CI147" s="412"/>
      <c r="CJ147" s="412"/>
      <c r="CK147" s="62">
        <v>45782</v>
      </c>
      <c r="CL147" s="62">
        <v>45790</v>
      </c>
      <c r="CM147" s="65" t="s">
        <v>362</v>
      </c>
      <c r="CN147" s="14" t="s">
        <v>356</v>
      </c>
      <c r="CO147" s="61" t="s">
        <v>340</v>
      </c>
      <c r="CP147" s="61" t="str">
        <f t="shared" si="100"/>
        <v>RIOS GUIJARRO CARLOS ALBERTO</v>
      </c>
      <c r="CQ147" s="9"/>
      <c r="CR147" s="9"/>
    </row>
    <row r="148" spans="1:96" s="19" customFormat="1" ht="153" customHeight="1" x14ac:dyDescent="0.3">
      <c r="A148" s="4" t="s">
        <v>899</v>
      </c>
      <c r="B148" s="8" t="s">
        <v>276</v>
      </c>
      <c r="C148" s="8" t="s">
        <v>277</v>
      </c>
      <c r="D148" s="8" t="s">
        <v>278</v>
      </c>
      <c r="E148" s="22" t="s">
        <v>171</v>
      </c>
      <c r="F148" s="40" t="s">
        <v>268</v>
      </c>
      <c r="G148" s="32" t="s">
        <v>306</v>
      </c>
      <c r="H148" s="8" t="s">
        <v>295</v>
      </c>
      <c r="I148" s="9" t="s">
        <v>895</v>
      </c>
      <c r="J148" s="9" t="s">
        <v>156</v>
      </c>
      <c r="K148" s="10">
        <v>2025</v>
      </c>
      <c r="L148" s="11" t="s">
        <v>46</v>
      </c>
      <c r="M148" s="11" t="s">
        <v>47</v>
      </c>
      <c r="N148" s="11" t="s">
        <v>47</v>
      </c>
      <c r="O148" s="12">
        <v>1</v>
      </c>
      <c r="P148" s="4" t="s">
        <v>307</v>
      </c>
      <c r="Q148" s="13"/>
      <c r="R148" s="14" t="s">
        <v>48</v>
      </c>
      <c r="S148" s="15" t="s">
        <v>49</v>
      </c>
      <c r="T148" s="15" t="s">
        <v>50</v>
      </c>
      <c r="U148" s="7" t="s">
        <v>160</v>
      </c>
      <c r="V148" s="7" t="s">
        <v>161</v>
      </c>
      <c r="W148" s="7" t="s">
        <v>162</v>
      </c>
      <c r="X148" s="7" t="s">
        <v>163</v>
      </c>
      <c r="Y148" s="16" t="s">
        <v>55</v>
      </c>
      <c r="Z148" s="21">
        <v>14309.44</v>
      </c>
      <c r="AA148" s="55">
        <v>1</v>
      </c>
      <c r="AB148" s="55"/>
      <c r="AC148" s="55"/>
      <c r="AD148" s="18">
        <f t="shared" si="44"/>
        <v>1</v>
      </c>
      <c r="AE148" s="38"/>
      <c r="AF148" s="38"/>
      <c r="AG148" s="38"/>
      <c r="AH148" s="38">
        <f t="shared" si="115"/>
        <v>0</v>
      </c>
      <c r="AI148" s="38"/>
      <c r="AJ148" s="38"/>
      <c r="AK148" s="359"/>
      <c r="AL148" s="359"/>
      <c r="AM148" s="74">
        <f t="shared" si="88"/>
        <v>14309.44</v>
      </c>
      <c r="AN148" s="38"/>
      <c r="AO148" s="38"/>
      <c r="AP148" s="74">
        <f t="shared" si="89"/>
        <v>14309.44</v>
      </c>
      <c r="AQ148" s="38"/>
      <c r="AR148" s="38"/>
      <c r="AS148" s="74">
        <f t="shared" si="90"/>
        <v>14309.44</v>
      </c>
      <c r="AT148" s="38"/>
      <c r="AU148" s="38"/>
      <c r="AV148" s="38">
        <f t="shared" si="91"/>
        <v>14309.44</v>
      </c>
      <c r="AW148" s="38"/>
      <c r="AX148" s="38"/>
      <c r="AY148" s="38">
        <f t="shared" si="92"/>
        <v>14309.44</v>
      </c>
      <c r="AZ148" s="38"/>
      <c r="BA148" s="38"/>
      <c r="BB148" s="38">
        <f t="shared" si="93"/>
        <v>14309.44</v>
      </c>
      <c r="BC148" s="74"/>
      <c r="BD148" s="74">
        <v>14309.44</v>
      </c>
      <c r="BE148" s="74">
        <f t="shared" si="114"/>
        <v>0</v>
      </c>
      <c r="BF148" s="74"/>
      <c r="BG148" s="74"/>
      <c r="BH148" s="38">
        <f t="shared" si="104"/>
        <v>0</v>
      </c>
      <c r="BI148" s="38"/>
      <c r="BJ148" s="38"/>
      <c r="BK148" s="38">
        <f t="shared" si="105"/>
        <v>0</v>
      </c>
      <c r="BL148" s="337" t="s">
        <v>56</v>
      </c>
      <c r="BM148" s="37"/>
      <c r="BN148" s="131"/>
      <c r="BO148" s="34"/>
      <c r="BP148" s="34"/>
      <c r="BQ148" s="34"/>
      <c r="BR148" s="34"/>
      <c r="BS148" s="34"/>
      <c r="BT148" s="34"/>
      <c r="BU148" s="34"/>
      <c r="BV148" s="34"/>
      <c r="BW148" s="95"/>
      <c r="BX148" s="95"/>
      <c r="BY148" s="95"/>
      <c r="BZ148" s="95"/>
      <c r="CA148" s="95"/>
      <c r="CB148" s="95"/>
      <c r="CC148" s="95"/>
      <c r="CD148" s="96"/>
      <c r="CE148" s="67"/>
      <c r="CF148" s="781">
        <f t="shared" si="103"/>
        <v>0</v>
      </c>
      <c r="CG148" s="420" t="s">
        <v>971</v>
      </c>
      <c r="CH148" s="134"/>
      <c r="CI148" s="412"/>
      <c r="CJ148" s="412"/>
      <c r="CK148" s="62">
        <v>45782</v>
      </c>
      <c r="CL148" s="62">
        <v>45790</v>
      </c>
      <c r="CM148" s="65" t="s">
        <v>362</v>
      </c>
      <c r="CN148" s="14" t="s">
        <v>356</v>
      </c>
      <c r="CO148" s="61" t="s">
        <v>340</v>
      </c>
      <c r="CP148" s="61" t="str">
        <f t="shared" si="100"/>
        <v>RIOS GUIJARRO CARLOS ALBERTO</v>
      </c>
      <c r="CQ148" s="9"/>
      <c r="CR148" s="9"/>
    </row>
    <row r="149" spans="1:96" s="19" customFormat="1" ht="122.4" customHeight="1" x14ac:dyDescent="0.3">
      <c r="A149" s="4" t="s">
        <v>899</v>
      </c>
      <c r="B149" s="8" t="s">
        <v>276</v>
      </c>
      <c r="C149" s="8" t="s">
        <v>277</v>
      </c>
      <c r="D149" s="8" t="s">
        <v>278</v>
      </c>
      <c r="E149" s="22" t="s">
        <v>275</v>
      </c>
      <c r="F149" s="40" t="s">
        <v>268</v>
      </c>
      <c r="G149" s="32" t="s">
        <v>306</v>
      </c>
      <c r="H149" s="8" t="s">
        <v>295</v>
      </c>
      <c r="I149" s="9" t="s">
        <v>895</v>
      </c>
      <c r="J149" s="9" t="s">
        <v>156</v>
      </c>
      <c r="K149" s="10">
        <v>2025</v>
      </c>
      <c r="L149" s="11" t="s">
        <v>46</v>
      </c>
      <c r="M149" s="11" t="s">
        <v>47</v>
      </c>
      <c r="N149" s="11" t="s">
        <v>47</v>
      </c>
      <c r="O149" s="12">
        <v>1</v>
      </c>
      <c r="P149" s="4" t="s">
        <v>307</v>
      </c>
      <c r="Q149" s="13"/>
      <c r="R149" s="14" t="s">
        <v>48</v>
      </c>
      <c r="S149" s="15" t="s">
        <v>49</v>
      </c>
      <c r="T149" s="15" t="s">
        <v>50</v>
      </c>
      <c r="U149" s="7" t="s">
        <v>160</v>
      </c>
      <c r="V149" s="7" t="s">
        <v>161</v>
      </c>
      <c r="W149" s="7" t="s">
        <v>162</v>
      </c>
      <c r="X149" s="7" t="s">
        <v>163</v>
      </c>
      <c r="Y149" s="16" t="s">
        <v>55</v>
      </c>
      <c r="Z149" s="21">
        <v>1318.24</v>
      </c>
      <c r="AA149" s="55">
        <v>1</v>
      </c>
      <c r="AB149" s="55"/>
      <c r="AC149" s="55"/>
      <c r="AD149" s="18">
        <f t="shared" si="44"/>
        <v>1</v>
      </c>
      <c r="AE149" s="38"/>
      <c r="AF149" s="38"/>
      <c r="AG149" s="38"/>
      <c r="AH149" s="38">
        <f t="shared" si="115"/>
        <v>0</v>
      </c>
      <c r="AI149" s="38"/>
      <c r="AJ149" s="38"/>
      <c r="AK149" s="359"/>
      <c r="AL149" s="359"/>
      <c r="AM149" s="74">
        <f t="shared" si="88"/>
        <v>1318.24</v>
      </c>
      <c r="AN149" s="38"/>
      <c r="AO149" s="38"/>
      <c r="AP149" s="74">
        <f t="shared" si="89"/>
        <v>1318.24</v>
      </c>
      <c r="AQ149" s="38"/>
      <c r="AR149" s="38"/>
      <c r="AS149" s="74">
        <f t="shared" si="90"/>
        <v>1318.24</v>
      </c>
      <c r="AT149" s="38"/>
      <c r="AU149" s="38"/>
      <c r="AV149" s="38">
        <f t="shared" si="91"/>
        <v>1318.24</v>
      </c>
      <c r="AW149" s="38"/>
      <c r="AX149" s="38"/>
      <c r="AY149" s="38">
        <f t="shared" si="92"/>
        <v>1318.24</v>
      </c>
      <c r="AZ149" s="38"/>
      <c r="BA149" s="38"/>
      <c r="BB149" s="38">
        <f t="shared" si="93"/>
        <v>1318.24</v>
      </c>
      <c r="BC149" s="74"/>
      <c r="BD149" s="74">
        <v>1318.24</v>
      </c>
      <c r="BE149" s="74">
        <f t="shared" si="114"/>
        <v>0</v>
      </c>
      <c r="BF149" s="74"/>
      <c r="BG149" s="74"/>
      <c r="BH149" s="38">
        <f t="shared" si="104"/>
        <v>0</v>
      </c>
      <c r="BI149" s="38"/>
      <c r="BJ149" s="38"/>
      <c r="BK149" s="38">
        <f t="shared" si="105"/>
        <v>0</v>
      </c>
      <c r="BL149" s="337" t="s">
        <v>56</v>
      </c>
      <c r="BM149" s="37"/>
      <c r="BN149" s="131"/>
      <c r="BO149" s="34"/>
      <c r="BP149" s="34"/>
      <c r="BQ149" s="34"/>
      <c r="BR149" s="34"/>
      <c r="BS149" s="34"/>
      <c r="BT149" s="34"/>
      <c r="BU149" s="34"/>
      <c r="BV149" s="34"/>
      <c r="BW149" s="95"/>
      <c r="BX149" s="95"/>
      <c r="BY149" s="95"/>
      <c r="BZ149" s="95"/>
      <c r="CA149" s="95"/>
      <c r="CB149" s="95"/>
      <c r="CC149" s="95"/>
      <c r="CD149" s="96"/>
      <c r="CE149" s="67"/>
      <c r="CF149" s="781">
        <f t="shared" si="103"/>
        <v>0</v>
      </c>
      <c r="CG149" s="420" t="s">
        <v>971</v>
      </c>
      <c r="CH149" s="134"/>
      <c r="CI149" s="412"/>
      <c r="CJ149" s="412"/>
      <c r="CK149" s="62">
        <v>45782</v>
      </c>
      <c r="CL149" s="62">
        <v>45790</v>
      </c>
      <c r="CM149" s="65" t="s">
        <v>362</v>
      </c>
      <c r="CN149" s="14" t="s">
        <v>356</v>
      </c>
      <c r="CO149" s="61" t="s">
        <v>340</v>
      </c>
      <c r="CP149" s="61" t="str">
        <f t="shared" si="100"/>
        <v>RIOS GUIJARRO CARLOS ALBERTO</v>
      </c>
      <c r="CQ149" s="9"/>
      <c r="CR149" s="9"/>
    </row>
    <row r="150" spans="1:96" s="19" customFormat="1" ht="144.6" customHeight="1" x14ac:dyDescent="0.3">
      <c r="A150" s="4" t="s">
        <v>899</v>
      </c>
      <c r="B150" s="8" t="s">
        <v>276</v>
      </c>
      <c r="C150" s="8" t="s">
        <v>277</v>
      </c>
      <c r="D150" s="8" t="s">
        <v>278</v>
      </c>
      <c r="E150" s="42" t="s">
        <v>153</v>
      </c>
      <c r="F150" s="42" t="s">
        <v>154</v>
      </c>
      <c r="G150" s="32" t="s">
        <v>306</v>
      </c>
      <c r="H150" s="8" t="s">
        <v>295</v>
      </c>
      <c r="I150" s="9" t="s">
        <v>895</v>
      </c>
      <c r="J150" s="9" t="s">
        <v>156</v>
      </c>
      <c r="K150" s="10">
        <v>2025</v>
      </c>
      <c r="L150" s="11" t="s">
        <v>46</v>
      </c>
      <c r="M150" s="11" t="s">
        <v>47</v>
      </c>
      <c r="N150" s="11" t="s">
        <v>47</v>
      </c>
      <c r="O150" s="12">
        <v>1</v>
      </c>
      <c r="P150" s="4" t="s">
        <v>307</v>
      </c>
      <c r="Q150" s="13"/>
      <c r="R150" s="14" t="s">
        <v>48</v>
      </c>
      <c r="S150" s="15" t="s">
        <v>49</v>
      </c>
      <c r="T150" s="15" t="s">
        <v>50</v>
      </c>
      <c r="U150" s="7" t="s">
        <v>160</v>
      </c>
      <c r="V150" s="7" t="s">
        <v>161</v>
      </c>
      <c r="W150" s="7" t="s">
        <v>162</v>
      </c>
      <c r="X150" s="7" t="s">
        <v>163</v>
      </c>
      <c r="Y150" s="16" t="s">
        <v>55</v>
      </c>
      <c r="Z150" s="21">
        <v>1119.52</v>
      </c>
      <c r="AA150" s="55">
        <v>1</v>
      </c>
      <c r="AB150" s="55"/>
      <c r="AC150" s="55"/>
      <c r="AD150" s="18">
        <f t="shared" si="44"/>
        <v>1</v>
      </c>
      <c r="AE150" s="38"/>
      <c r="AF150" s="38"/>
      <c r="AG150" s="38"/>
      <c r="AH150" s="38">
        <f t="shared" si="115"/>
        <v>0</v>
      </c>
      <c r="AI150" s="38"/>
      <c r="AJ150" s="38"/>
      <c r="AK150" s="359"/>
      <c r="AL150" s="359"/>
      <c r="AM150" s="74">
        <f t="shared" si="88"/>
        <v>1119.52</v>
      </c>
      <c r="AN150" s="38"/>
      <c r="AO150" s="38"/>
      <c r="AP150" s="74">
        <f t="shared" si="89"/>
        <v>1119.52</v>
      </c>
      <c r="AQ150" s="38"/>
      <c r="AR150" s="38"/>
      <c r="AS150" s="74">
        <f t="shared" si="90"/>
        <v>1119.52</v>
      </c>
      <c r="AT150" s="38"/>
      <c r="AU150" s="38"/>
      <c r="AV150" s="38">
        <f t="shared" si="91"/>
        <v>1119.52</v>
      </c>
      <c r="AW150" s="38"/>
      <c r="AX150" s="38"/>
      <c r="AY150" s="38">
        <f t="shared" si="92"/>
        <v>1119.52</v>
      </c>
      <c r="AZ150" s="38"/>
      <c r="BA150" s="38"/>
      <c r="BB150" s="38">
        <f t="shared" si="93"/>
        <v>1119.52</v>
      </c>
      <c r="BC150" s="74"/>
      <c r="BD150" s="74">
        <v>1119.52</v>
      </c>
      <c r="BE150" s="74">
        <f t="shared" si="114"/>
        <v>0</v>
      </c>
      <c r="BF150" s="74"/>
      <c r="BG150" s="74"/>
      <c r="BH150" s="38">
        <f t="shared" si="104"/>
        <v>0</v>
      </c>
      <c r="BI150" s="38"/>
      <c r="BJ150" s="38"/>
      <c r="BK150" s="38">
        <f t="shared" si="105"/>
        <v>0</v>
      </c>
      <c r="BL150" s="337" t="s">
        <v>56</v>
      </c>
      <c r="BM150" s="37"/>
      <c r="BN150" s="131"/>
      <c r="BO150" s="34"/>
      <c r="BP150" s="34"/>
      <c r="BQ150" s="34"/>
      <c r="BR150" s="34"/>
      <c r="BS150" s="34"/>
      <c r="BT150" s="34"/>
      <c r="BU150" s="34"/>
      <c r="BV150" s="34"/>
      <c r="BW150" s="95"/>
      <c r="BX150" s="95"/>
      <c r="BY150" s="95"/>
      <c r="BZ150" s="95"/>
      <c r="CA150" s="95"/>
      <c r="CB150" s="95"/>
      <c r="CC150" s="95"/>
      <c r="CD150" s="96"/>
      <c r="CE150" s="67"/>
      <c r="CF150" s="781">
        <f t="shared" si="103"/>
        <v>0</v>
      </c>
      <c r="CG150" s="420" t="s">
        <v>971</v>
      </c>
      <c r="CH150" s="134"/>
      <c r="CI150" s="412"/>
      <c r="CJ150" s="412"/>
      <c r="CK150" s="62">
        <v>45782</v>
      </c>
      <c r="CL150" s="62">
        <v>45790</v>
      </c>
      <c r="CM150" s="65" t="s">
        <v>362</v>
      </c>
      <c r="CN150" s="14" t="s">
        <v>356</v>
      </c>
      <c r="CO150" s="61" t="s">
        <v>340</v>
      </c>
      <c r="CP150" s="61" t="str">
        <f t="shared" si="100"/>
        <v>RIOS GUIJARRO CARLOS ALBERTO</v>
      </c>
      <c r="CQ150" s="9"/>
      <c r="CR150" s="9"/>
    </row>
    <row r="151" spans="1:96" s="19" customFormat="1" ht="203.7" customHeight="1" x14ac:dyDescent="0.3">
      <c r="A151" s="4" t="s">
        <v>899</v>
      </c>
      <c r="B151" s="48" t="s">
        <v>276</v>
      </c>
      <c r="C151" s="48" t="s">
        <v>232</v>
      </c>
      <c r="D151" s="48" t="s">
        <v>233</v>
      </c>
      <c r="E151" s="49" t="s">
        <v>318</v>
      </c>
      <c r="F151" s="50" t="s">
        <v>319</v>
      </c>
      <c r="G151" s="325" t="s">
        <v>320</v>
      </c>
      <c r="H151" s="48" t="s">
        <v>295</v>
      </c>
      <c r="I151" s="9" t="s">
        <v>895</v>
      </c>
      <c r="J151" s="9" t="s">
        <v>96</v>
      </c>
      <c r="K151" s="10">
        <v>2025</v>
      </c>
      <c r="L151" s="11" t="s">
        <v>56</v>
      </c>
      <c r="M151" s="11" t="s">
        <v>47</v>
      </c>
      <c r="N151" s="11" t="s">
        <v>47</v>
      </c>
      <c r="O151" s="12">
        <v>3</v>
      </c>
      <c r="P151" s="12" t="s">
        <v>321</v>
      </c>
      <c r="Q151" s="13"/>
      <c r="R151" s="14" t="s">
        <v>48</v>
      </c>
      <c r="S151" s="15" t="s">
        <v>49</v>
      </c>
      <c r="T151" s="15" t="s">
        <v>50</v>
      </c>
      <c r="U151" s="7" t="s">
        <v>160</v>
      </c>
      <c r="V151" s="7" t="s">
        <v>161</v>
      </c>
      <c r="W151" s="7" t="s">
        <v>162</v>
      </c>
      <c r="X151" s="7" t="s">
        <v>163</v>
      </c>
      <c r="Y151" s="16" t="s">
        <v>55</v>
      </c>
      <c r="Z151" s="21">
        <v>900</v>
      </c>
      <c r="AA151" s="55">
        <v>1</v>
      </c>
      <c r="AB151" s="55"/>
      <c r="AC151" s="55"/>
      <c r="AD151" s="18">
        <f>+AA151+AB151+AC151</f>
        <v>1</v>
      </c>
      <c r="AE151" s="38">
        <v>700.08</v>
      </c>
      <c r="AF151" s="38"/>
      <c r="AG151" s="38"/>
      <c r="AH151" s="38">
        <f t="shared" si="115"/>
        <v>700.08</v>
      </c>
      <c r="AI151" s="38"/>
      <c r="AJ151" s="38"/>
      <c r="AK151" s="359"/>
      <c r="AL151" s="359"/>
      <c r="AM151" s="74">
        <f>+Z151+AI151-AJ151+AK151-AL151</f>
        <v>900</v>
      </c>
      <c r="AN151" s="38"/>
      <c r="AO151" s="38"/>
      <c r="AP151" s="74">
        <f>+AM151+AN151-AO151</f>
        <v>900</v>
      </c>
      <c r="AQ151" s="38"/>
      <c r="AR151" s="38"/>
      <c r="AS151" s="74">
        <f>+AP151+AQ151-AR151</f>
        <v>900</v>
      </c>
      <c r="AT151" s="38"/>
      <c r="AU151" s="38"/>
      <c r="AV151" s="38">
        <f>+AS151+AT151-AU151</f>
        <v>900</v>
      </c>
      <c r="AW151" s="38"/>
      <c r="AX151" s="38"/>
      <c r="AY151" s="38">
        <f>+AV151+AW151-AX151</f>
        <v>900</v>
      </c>
      <c r="AZ151" s="38"/>
      <c r="BA151" s="38"/>
      <c r="BB151" s="38">
        <f>+AY151+AZ151-BA151</f>
        <v>900</v>
      </c>
      <c r="BC151" s="74"/>
      <c r="BD151" s="74">
        <v>199.92</v>
      </c>
      <c r="BE151" s="74">
        <f t="shared" si="114"/>
        <v>700.08</v>
      </c>
      <c r="BF151" s="74"/>
      <c r="BG151" s="74"/>
      <c r="BH151" s="38">
        <f t="shared" si="104"/>
        <v>700.08</v>
      </c>
      <c r="BI151" s="38"/>
      <c r="BJ151" s="38"/>
      <c r="BK151" s="38">
        <f t="shared" si="105"/>
        <v>700.08</v>
      </c>
      <c r="BL151" s="337" t="s">
        <v>56</v>
      </c>
      <c r="BM151" s="37"/>
      <c r="BN151" s="131"/>
      <c r="BO151" s="32" t="s">
        <v>502</v>
      </c>
      <c r="BP151" s="34">
        <v>700.08</v>
      </c>
      <c r="BQ151" s="34"/>
      <c r="BR151" s="34"/>
      <c r="BS151" s="34"/>
      <c r="BT151" s="34"/>
      <c r="BU151" s="34"/>
      <c r="BV151" s="34"/>
      <c r="BW151" s="95"/>
      <c r="BX151" s="95"/>
      <c r="BY151" s="95"/>
      <c r="BZ151" s="95"/>
      <c r="CA151" s="95"/>
      <c r="CB151" s="95"/>
      <c r="CC151" s="34" t="s">
        <v>508</v>
      </c>
      <c r="CD151" s="67">
        <v>700.08</v>
      </c>
      <c r="CE151" s="67">
        <v>700.08</v>
      </c>
      <c r="CF151" s="781">
        <f t="shared" si="103"/>
        <v>0</v>
      </c>
      <c r="CG151" s="133" t="s">
        <v>544</v>
      </c>
      <c r="CH151" s="133" t="s">
        <v>544</v>
      </c>
      <c r="CI151" s="133" t="s">
        <v>544</v>
      </c>
      <c r="CJ151" s="133"/>
      <c r="CK151" s="10"/>
      <c r="CL151" s="10"/>
      <c r="CM151" s="9"/>
      <c r="CN151" s="9"/>
      <c r="CO151" s="9"/>
      <c r="CP151" s="9" t="s">
        <v>474</v>
      </c>
      <c r="CQ151" s="9" t="s">
        <v>468</v>
      </c>
      <c r="CR151" s="9"/>
    </row>
    <row r="152" spans="1:96" s="19" customFormat="1" ht="126" customHeight="1" x14ac:dyDescent="0.3">
      <c r="A152" s="4" t="s">
        <v>899</v>
      </c>
      <c r="B152" s="8" t="s">
        <v>276</v>
      </c>
      <c r="C152" s="8" t="s">
        <v>277</v>
      </c>
      <c r="D152" s="8" t="s">
        <v>278</v>
      </c>
      <c r="E152" s="42" t="s">
        <v>301</v>
      </c>
      <c r="F152" s="42" t="s">
        <v>154</v>
      </c>
      <c r="G152" s="15" t="s">
        <v>542</v>
      </c>
      <c r="H152" s="8" t="s">
        <v>308</v>
      </c>
      <c r="I152" s="9" t="s">
        <v>896</v>
      </c>
      <c r="J152" s="9" t="s">
        <v>156</v>
      </c>
      <c r="K152" s="10">
        <v>2025</v>
      </c>
      <c r="L152" s="11" t="s">
        <v>46</v>
      </c>
      <c r="M152" s="11" t="s">
        <v>47</v>
      </c>
      <c r="N152" s="11" t="s">
        <v>47</v>
      </c>
      <c r="O152" s="12">
        <v>10</v>
      </c>
      <c r="P152" s="4" t="s">
        <v>309</v>
      </c>
      <c r="Q152" s="13"/>
      <c r="R152" s="14" t="s">
        <v>48</v>
      </c>
      <c r="S152" s="15" t="s">
        <v>49</v>
      </c>
      <c r="T152" s="15" t="s">
        <v>50</v>
      </c>
      <c r="U152" s="7" t="s">
        <v>160</v>
      </c>
      <c r="V152" s="7" t="s">
        <v>161</v>
      </c>
      <c r="W152" s="7" t="s">
        <v>162</v>
      </c>
      <c r="X152" s="7" t="s">
        <v>163</v>
      </c>
      <c r="Y152" s="16" t="s">
        <v>55</v>
      </c>
      <c r="Z152" s="21">
        <v>12500</v>
      </c>
      <c r="AA152" s="55"/>
      <c r="AB152" s="55"/>
      <c r="AC152" s="55">
        <v>1</v>
      </c>
      <c r="AD152" s="18">
        <f t="shared" si="44"/>
        <v>1</v>
      </c>
      <c r="AE152" s="38"/>
      <c r="AF152" s="38"/>
      <c r="AG152" s="38">
        <v>31947.86</v>
      </c>
      <c r="AH152" s="38">
        <f t="shared" si="115"/>
        <v>31947.86</v>
      </c>
      <c r="AI152" s="38"/>
      <c r="AJ152" s="38"/>
      <c r="AK152" s="359"/>
      <c r="AL152" s="359"/>
      <c r="AM152" s="74">
        <f t="shared" si="88"/>
        <v>12500</v>
      </c>
      <c r="AN152" s="38"/>
      <c r="AO152" s="38"/>
      <c r="AP152" s="74">
        <f t="shared" si="89"/>
        <v>12500</v>
      </c>
      <c r="AQ152" s="38"/>
      <c r="AR152" s="38"/>
      <c r="AS152" s="74">
        <f t="shared" si="90"/>
        <v>12500</v>
      </c>
      <c r="AT152" s="38"/>
      <c r="AU152" s="38"/>
      <c r="AV152" s="38">
        <f t="shared" si="91"/>
        <v>12500</v>
      </c>
      <c r="AW152" s="38"/>
      <c r="AX152" s="38"/>
      <c r="AY152" s="38">
        <f t="shared" si="92"/>
        <v>12500</v>
      </c>
      <c r="AZ152" s="38"/>
      <c r="BA152" s="38"/>
      <c r="BB152" s="38">
        <f t="shared" si="93"/>
        <v>12500</v>
      </c>
      <c r="BC152" s="74">
        <v>19447.86</v>
      </c>
      <c r="BD152" s="74"/>
      <c r="BE152" s="74">
        <f t="shared" si="114"/>
        <v>31947.86</v>
      </c>
      <c r="BF152" s="74"/>
      <c r="BG152" s="74"/>
      <c r="BH152" s="38">
        <f t="shared" si="104"/>
        <v>31947.86</v>
      </c>
      <c r="BI152" s="38"/>
      <c r="BJ152" s="38"/>
      <c r="BK152" s="38">
        <f t="shared" si="105"/>
        <v>31947.86</v>
      </c>
      <c r="BL152" s="337" t="s">
        <v>177</v>
      </c>
      <c r="BM152" s="38">
        <v>59331.740000000005</v>
      </c>
      <c r="BN152" s="337"/>
      <c r="BO152" s="32" t="s">
        <v>993</v>
      </c>
      <c r="BP152" s="67">
        <v>31038.940000000002</v>
      </c>
      <c r="BQ152" s="67"/>
      <c r="BR152" s="67">
        <v>60252.06</v>
      </c>
      <c r="BS152" s="67"/>
      <c r="BT152" s="67"/>
      <c r="BU152" s="67"/>
      <c r="BV152" s="67"/>
      <c r="BW152" s="34" t="s">
        <v>994</v>
      </c>
      <c r="BX152" s="67">
        <v>31038.940000000002</v>
      </c>
      <c r="BY152" s="67">
        <v>60252.06</v>
      </c>
      <c r="BZ152" s="67"/>
      <c r="CA152" s="67"/>
      <c r="CB152" s="67"/>
      <c r="CC152" s="106" t="s">
        <v>1136</v>
      </c>
      <c r="CD152" s="107">
        <v>29452.2</v>
      </c>
      <c r="CE152" s="67"/>
      <c r="CF152" s="781">
        <f t="shared" si="103"/>
        <v>-29452.2</v>
      </c>
      <c r="CG152" s="421" t="s">
        <v>969</v>
      </c>
      <c r="CH152" s="422">
        <v>0.3</v>
      </c>
      <c r="CI152" s="423">
        <v>45947</v>
      </c>
      <c r="CJ152" s="524" t="s">
        <v>470</v>
      </c>
      <c r="CK152" s="62">
        <v>45760</v>
      </c>
      <c r="CL152" s="62">
        <v>45779</v>
      </c>
      <c r="CM152" s="9" t="s">
        <v>378</v>
      </c>
      <c r="CN152" s="9" t="s">
        <v>381</v>
      </c>
      <c r="CO152" s="9" t="s">
        <v>379</v>
      </c>
      <c r="CP152" s="9" t="str">
        <f t="shared" si="100"/>
        <v>UTITIAJA CUJI GEOVANNY FRANKLIN</v>
      </c>
      <c r="CQ152" s="9" t="s">
        <v>467</v>
      </c>
      <c r="CR152" s="9"/>
    </row>
    <row r="153" spans="1:96" s="19" customFormat="1" ht="139.94999999999999" customHeight="1" x14ac:dyDescent="0.3">
      <c r="A153" s="4" t="s">
        <v>899</v>
      </c>
      <c r="B153" s="8" t="s">
        <v>276</v>
      </c>
      <c r="C153" s="8" t="s">
        <v>277</v>
      </c>
      <c r="D153" s="8" t="s">
        <v>278</v>
      </c>
      <c r="E153" s="22" t="s">
        <v>171</v>
      </c>
      <c r="F153" s="40" t="s">
        <v>268</v>
      </c>
      <c r="G153" s="15" t="s">
        <v>542</v>
      </c>
      <c r="H153" s="8" t="s">
        <v>308</v>
      </c>
      <c r="I153" s="9" t="s">
        <v>896</v>
      </c>
      <c r="J153" s="9" t="s">
        <v>156</v>
      </c>
      <c r="K153" s="10">
        <v>2025</v>
      </c>
      <c r="L153" s="11" t="s">
        <v>46</v>
      </c>
      <c r="M153" s="11" t="s">
        <v>47</v>
      </c>
      <c r="N153" s="11" t="s">
        <v>47</v>
      </c>
      <c r="O153" s="12">
        <v>10</v>
      </c>
      <c r="P153" s="4" t="s">
        <v>309</v>
      </c>
      <c r="Q153" s="13"/>
      <c r="R153" s="14" t="s">
        <v>48</v>
      </c>
      <c r="S153" s="15" t="s">
        <v>49</v>
      </c>
      <c r="T153" s="15" t="s">
        <v>50</v>
      </c>
      <c r="U153" s="7" t="s">
        <v>160</v>
      </c>
      <c r="V153" s="7" t="s">
        <v>161</v>
      </c>
      <c r="W153" s="7" t="s">
        <v>162</v>
      </c>
      <c r="X153" s="7" t="s">
        <v>163</v>
      </c>
      <c r="Y153" s="16" t="s">
        <v>55</v>
      </c>
      <c r="Z153" s="21">
        <v>0</v>
      </c>
      <c r="AA153" s="55"/>
      <c r="AB153" s="55"/>
      <c r="AC153" s="55">
        <v>1</v>
      </c>
      <c r="AD153" s="18">
        <f t="shared" ref="AD153" si="116">+AA153+AB153+AC153</f>
        <v>1</v>
      </c>
      <c r="AE153" s="38"/>
      <c r="AF153" s="38"/>
      <c r="AG153" s="38">
        <v>6125</v>
      </c>
      <c r="AH153" s="38">
        <f t="shared" si="115"/>
        <v>6125</v>
      </c>
      <c r="AI153" s="38"/>
      <c r="AJ153" s="38"/>
      <c r="AK153" s="359"/>
      <c r="AL153" s="359"/>
      <c r="AM153" s="74">
        <f t="shared" ref="AM153" si="117">+Z153+AI153-AJ153+AK153-AL153</f>
        <v>0</v>
      </c>
      <c r="AN153" s="38"/>
      <c r="AO153" s="38"/>
      <c r="AP153" s="74">
        <f t="shared" ref="AP153" si="118">+AM153+AN153-AO153</f>
        <v>0</v>
      </c>
      <c r="AQ153" s="38"/>
      <c r="AR153" s="38"/>
      <c r="AS153" s="74">
        <f t="shared" ref="AS153" si="119">+AP153+AQ153-AR153</f>
        <v>0</v>
      </c>
      <c r="AT153" s="38"/>
      <c r="AU153" s="38"/>
      <c r="AV153" s="38">
        <f t="shared" ref="AV153" si="120">+AS153+AT153-AU153</f>
        <v>0</v>
      </c>
      <c r="AW153" s="38"/>
      <c r="AX153" s="38"/>
      <c r="AY153" s="38">
        <f t="shared" ref="AY153" si="121">+AV153+AW153-AX153</f>
        <v>0</v>
      </c>
      <c r="AZ153" s="38"/>
      <c r="BA153" s="38"/>
      <c r="BB153" s="38">
        <v>0</v>
      </c>
      <c r="BC153" s="74">
        <v>6125</v>
      </c>
      <c r="BD153" s="74"/>
      <c r="BE153" s="74">
        <f t="shared" si="114"/>
        <v>6125</v>
      </c>
      <c r="BF153" s="74"/>
      <c r="BG153" s="74"/>
      <c r="BH153" s="38">
        <f t="shared" si="104"/>
        <v>6125</v>
      </c>
      <c r="BI153" s="38"/>
      <c r="BJ153" s="38"/>
      <c r="BK153" s="38">
        <f t="shared" si="105"/>
        <v>6125</v>
      </c>
      <c r="BL153" s="337" t="s">
        <v>177</v>
      </c>
      <c r="BM153" s="38">
        <v>11375</v>
      </c>
      <c r="BN153" s="337"/>
      <c r="BO153" s="32" t="s">
        <v>993</v>
      </c>
      <c r="BP153" s="67">
        <v>5945.92</v>
      </c>
      <c r="BQ153" s="67"/>
      <c r="BR153" s="67">
        <v>11542.08</v>
      </c>
      <c r="BS153" s="67"/>
      <c r="BT153" s="67"/>
      <c r="BU153" s="67"/>
      <c r="BV153" s="67"/>
      <c r="BW153" s="34" t="s">
        <v>994</v>
      </c>
      <c r="BX153" s="67">
        <v>5945.92</v>
      </c>
      <c r="BY153" s="67">
        <v>11542.08</v>
      </c>
      <c r="BZ153" s="67"/>
      <c r="CA153" s="67"/>
      <c r="CB153" s="67"/>
      <c r="CC153" s="106" t="s">
        <v>1136</v>
      </c>
      <c r="CD153" s="107">
        <v>5643.62</v>
      </c>
      <c r="CE153" s="67"/>
      <c r="CF153" s="781">
        <f t="shared" si="103"/>
        <v>-5643.62</v>
      </c>
      <c r="CG153" s="421" t="s">
        <v>969</v>
      </c>
      <c r="CH153" s="422">
        <v>0.3</v>
      </c>
      <c r="CI153" s="423">
        <v>45947</v>
      </c>
      <c r="CJ153" s="524" t="s">
        <v>470</v>
      </c>
      <c r="CK153" s="62">
        <v>45760</v>
      </c>
      <c r="CL153" s="62">
        <v>45779</v>
      </c>
      <c r="CM153" s="9" t="s">
        <v>378</v>
      </c>
      <c r="CN153" s="9" t="s">
        <v>381</v>
      </c>
      <c r="CO153" s="9" t="s">
        <v>379</v>
      </c>
      <c r="CP153" s="9" t="str">
        <f t="shared" ref="CP153" si="122">+CM153</f>
        <v>UTITIAJA CUJI GEOVANNY FRANKLIN</v>
      </c>
      <c r="CQ153" s="9" t="s">
        <v>467</v>
      </c>
      <c r="CR153" s="9"/>
    </row>
    <row r="154" spans="1:96" s="19" customFormat="1" ht="175.2" customHeight="1" x14ac:dyDescent="0.3">
      <c r="A154" s="4" t="s">
        <v>899</v>
      </c>
      <c r="B154" s="8" t="s">
        <v>276</v>
      </c>
      <c r="C154" s="8" t="s">
        <v>277</v>
      </c>
      <c r="D154" s="8" t="s">
        <v>278</v>
      </c>
      <c r="E154" s="22" t="s">
        <v>171</v>
      </c>
      <c r="F154" s="40" t="s">
        <v>268</v>
      </c>
      <c r="G154" s="15" t="s">
        <v>310</v>
      </c>
      <c r="H154" s="8" t="s">
        <v>308</v>
      </c>
      <c r="I154" s="9" t="s">
        <v>896</v>
      </c>
      <c r="J154" s="9" t="s">
        <v>156</v>
      </c>
      <c r="K154" s="10">
        <v>2025</v>
      </c>
      <c r="L154" s="11" t="s">
        <v>46</v>
      </c>
      <c r="M154" s="11" t="s">
        <v>47</v>
      </c>
      <c r="N154" s="11" t="s">
        <v>47</v>
      </c>
      <c r="O154" s="12">
        <v>8</v>
      </c>
      <c r="P154" s="4" t="s">
        <v>309</v>
      </c>
      <c r="Q154" s="13"/>
      <c r="R154" s="14" t="s">
        <v>48</v>
      </c>
      <c r="S154" s="15" t="s">
        <v>49</v>
      </c>
      <c r="T154" s="15" t="s">
        <v>50</v>
      </c>
      <c r="U154" s="7" t="s">
        <v>160</v>
      </c>
      <c r="V154" s="7" t="s">
        <v>161</v>
      </c>
      <c r="W154" s="7" t="s">
        <v>162</v>
      </c>
      <c r="X154" s="7" t="s">
        <v>163</v>
      </c>
      <c r="Y154" s="16" t="s">
        <v>55</v>
      </c>
      <c r="Z154" s="21">
        <f>((363964.65/25)*10)-30000</f>
        <v>115585.86000000002</v>
      </c>
      <c r="AA154" s="55"/>
      <c r="AB154" s="55">
        <v>1</v>
      </c>
      <c r="AC154" s="55"/>
      <c r="AD154" s="18">
        <f t="shared" si="44"/>
        <v>1</v>
      </c>
      <c r="AE154" s="38"/>
      <c r="AF154" s="38">
        <v>127382.22</v>
      </c>
      <c r="AG154" s="38"/>
      <c r="AH154" s="38">
        <f t="shared" si="115"/>
        <v>127382.22</v>
      </c>
      <c r="AI154" s="38"/>
      <c r="AJ154" s="38"/>
      <c r="AK154" s="359"/>
      <c r="AL154" s="359"/>
      <c r="AM154" s="74">
        <f t="shared" si="88"/>
        <v>115585.86000000002</v>
      </c>
      <c r="AN154" s="38"/>
      <c r="AO154" s="38"/>
      <c r="AP154" s="74">
        <f t="shared" si="89"/>
        <v>115585.86000000002</v>
      </c>
      <c r="AQ154" s="38"/>
      <c r="AR154" s="38"/>
      <c r="AS154" s="74">
        <f t="shared" si="90"/>
        <v>115585.86000000002</v>
      </c>
      <c r="AT154" s="38"/>
      <c r="AU154" s="38"/>
      <c r="AV154" s="38">
        <f t="shared" si="91"/>
        <v>115585.86000000002</v>
      </c>
      <c r="AW154" s="38">
        <v>19210.14</v>
      </c>
      <c r="AX154" s="38"/>
      <c r="AY154" s="38">
        <f t="shared" si="92"/>
        <v>134796</v>
      </c>
      <c r="AZ154" s="38"/>
      <c r="BA154" s="38"/>
      <c r="BB154" s="38">
        <f t="shared" si="93"/>
        <v>134796</v>
      </c>
      <c r="BC154" s="74"/>
      <c r="BD154" s="74">
        <v>7413.7799999999988</v>
      </c>
      <c r="BE154" s="74">
        <f t="shared" si="114"/>
        <v>127382.22</v>
      </c>
      <c r="BF154" s="74"/>
      <c r="BG154" s="74"/>
      <c r="BH154" s="38">
        <f t="shared" si="104"/>
        <v>127382.22</v>
      </c>
      <c r="BI154" s="38"/>
      <c r="BJ154" s="38"/>
      <c r="BK154" s="38">
        <f t="shared" si="105"/>
        <v>127382.22</v>
      </c>
      <c r="BL154" s="337" t="s">
        <v>56</v>
      </c>
      <c r="BM154" s="38"/>
      <c r="BN154" s="337"/>
      <c r="BO154" s="32" t="s">
        <v>495</v>
      </c>
      <c r="BP154" s="38">
        <f>134796-7413.78</f>
        <v>127382.22</v>
      </c>
      <c r="BQ154" s="38"/>
      <c r="BR154" s="34"/>
      <c r="BS154" s="34"/>
      <c r="BT154" s="34"/>
      <c r="BU154" s="34"/>
      <c r="BV154" s="34"/>
      <c r="BW154" s="32" t="s">
        <v>997</v>
      </c>
      <c r="BX154" s="38">
        <f>-7413.78+134796</f>
        <v>127382.22</v>
      </c>
      <c r="BY154" s="95"/>
      <c r="BZ154" s="95"/>
      <c r="CA154" s="95"/>
      <c r="CB154" s="95"/>
      <c r="CC154" s="10" t="s">
        <v>526</v>
      </c>
      <c r="CD154" s="67">
        <v>127382.22</v>
      </c>
      <c r="CE154" s="67">
        <v>127382.22</v>
      </c>
      <c r="CF154" s="781">
        <f t="shared" si="103"/>
        <v>0</v>
      </c>
      <c r="CG154" s="133" t="s">
        <v>544</v>
      </c>
      <c r="CH154" s="133" t="s">
        <v>544</v>
      </c>
      <c r="CI154" s="133" t="s">
        <v>544</v>
      </c>
      <c r="CJ154" s="133"/>
      <c r="CK154" s="62">
        <v>45751</v>
      </c>
      <c r="CL154" s="62">
        <v>45771</v>
      </c>
      <c r="CM154" s="24" t="s">
        <v>355</v>
      </c>
      <c r="CN154" s="9" t="s">
        <v>376</v>
      </c>
      <c r="CO154" s="9" t="s">
        <v>341</v>
      </c>
      <c r="CP154" s="9" t="str">
        <f t="shared" si="100"/>
        <v>GARCIA RUANO ALEXANDER ALBERTO</v>
      </c>
      <c r="CQ154" s="9" t="s">
        <v>467</v>
      </c>
      <c r="CR154" s="9"/>
    </row>
    <row r="155" spans="1:96" s="19" customFormat="1" ht="171" customHeight="1" x14ac:dyDescent="0.3">
      <c r="A155" s="4" t="s">
        <v>899</v>
      </c>
      <c r="B155" s="8" t="s">
        <v>276</v>
      </c>
      <c r="C155" s="8" t="s">
        <v>277</v>
      </c>
      <c r="D155" s="8" t="s">
        <v>278</v>
      </c>
      <c r="E155" s="22" t="s">
        <v>171</v>
      </c>
      <c r="F155" s="40" t="s">
        <v>268</v>
      </c>
      <c r="G155" s="15" t="s">
        <v>311</v>
      </c>
      <c r="H155" s="8" t="s">
        <v>308</v>
      </c>
      <c r="I155" s="9" t="s">
        <v>896</v>
      </c>
      <c r="J155" s="9" t="s">
        <v>156</v>
      </c>
      <c r="K155" s="10">
        <v>2025</v>
      </c>
      <c r="L155" s="11" t="s">
        <v>46</v>
      </c>
      <c r="M155" s="11" t="s">
        <v>47</v>
      </c>
      <c r="N155" s="11" t="s">
        <v>47</v>
      </c>
      <c r="O155" s="12">
        <v>35</v>
      </c>
      <c r="P155" s="4" t="s">
        <v>312</v>
      </c>
      <c r="Q155" s="13"/>
      <c r="R155" s="14" t="s">
        <v>48</v>
      </c>
      <c r="S155" s="15" t="s">
        <v>49</v>
      </c>
      <c r="T155" s="15" t="s">
        <v>50</v>
      </c>
      <c r="U155" s="7" t="s">
        <v>160</v>
      </c>
      <c r="V155" s="7" t="s">
        <v>161</v>
      </c>
      <c r="W155" s="7" t="s">
        <v>162</v>
      </c>
      <c r="X155" s="7" t="s">
        <v>163</v>
      </c>
      <c r="Y155" s="16" t="s">
        <v>55</v>
      </c>
      <c r="Z155" s="21">
        <v>48125</v>
      </c>
      <c r="AA155" s="55">
        <v>1</v>
      </c>
      <c r="AB155" s="55"/>
      <c r="AC155" s="55"/>
      <c r="AD155" s="18">
        <f t="shared" si="44"/>
        <v>1</v>
      </c>
      <c r="AE155" s="38">
        <v>24150</v>
      </c>
      <c r="AF155" s="38"/>
      <c r="AG155" s="38"/>
      <c r="AH155" s="38">
        <f t="shared" si="115"/>
        <v>24150</v>
      </c>
      <c r="AI155" s="38"/>
      <c r="AJ155" s="38"/>
      <c r="AK155" s="359"/>
      <c r="AL155" s="359"/>
      <c r="AM155" s="74">
        <f t="shared" si="88"/>
        <v>48125</v>
      </c>
      <c r="AN155" s="38"/>
      <c r="AO155" s="38"/>
      <c r="AP155" s="74">
        <f t="shared" si="89"/>
        <v>48125</v>
      </c>
      <c r="AQ155" s="38"/>
      <c r="AR155" s="38"/>
      <c r="AS155" s="74">
        <f t="shared" si="90"/>
        <v>48125</v>
      </c>
      <c r="AT155" s="38"/>
      <c r="AU155" s="38"/>
      <c r="AV155" s="38">
        <f t="shared" si="91"/>
        <v>48125</v>
      </c>
      <c r="AW155" s="38"/>
      <c r="AX155" s="38">
        <v>19210.14</v>
      </c>
      <c r="AY155" s="38">
        <f t="shared" si="92"/>
        <v>28914.86</v>
      </c>
      <c r="AZ155" s="38"/>
      <c r="BA155" s="38"/>
      <c r="BB155" s="38">
        <f t="shared" si="93"/>
        <v>28914.86</v>
      </c>
      <c r="BC155" s="74"/>
      <c r="BD155" s="74">
        <v>4764.8600000000006</v>
      </c>
      <c r="BE155" s="74">
        <f t="shared" si="114"/>
        <v>24150</v>
      </c>
      <c r="BF155" s="74"/>
      <c r="BG155" s="74"/>
      <c r="BH155" s="38">
        <f t="shared" si="104"/>
        <v>24150</v>
      </c>
      <c r="BI155" s="38"/>
      <c r="BJ155" s="38"/>
      <c r="BK155" s="38">
        <f t="shared" si="105"/>
        <v>24150</v>
      </c>
      <c r="BL155" s="337" t="s">
        <v>56</v>
      </c>
      <c r="BM155" s="37"/>
      <c r="BN155" s="131"/>
      <c r="BO155" s="32" t="s">
        <v>996</v>
      </c>
      <c r="BP155" s="67">
        <f>28914.86-4764.86</f>
        <v>24150</v>
      </c>
      <c r="BQ155" s="67"/>
      <c r="BR155" s="34"/>
      <c r="BS155" s="34"/>
      <c r="BT155" s="34"/>
      <c r="BU155" s="34"/>
      <c r="BV155" s="34"/>
      <c r="BW155" s="32" t="s">
        <v>992</v>
      </c>
      <c r="BX155" s="67">
        <f>-4764.86+28914.86</f>
        <v>24150</v>
      </c>
      <c r="BY155" s="95"/>
      <c r="BZ155" s="95"/>
      <c r="CA155" s="95"/>
      <c r="CB155" s="95"/>
      <c r="CC155" s="10" t="s">
        <v>507</v>
      </c>
      <c r="CD155" s="67">
        <v>24150</v>
      </c>
      <c r="CE155" s="67">
        <v>24150</v>
      </c>
      <c r="CF155" s="781">
        <f t="shared" si="103"/>
        <v>0</v>
      </c>
      <c r="CG155" s="133" t="s">
        <v>544</v>
      </c>
      <c r="CH155" s="133" t="s">
        <v>544</v>
      </c>
      <c r="CI155" s="133" t="s">
        <v>544</v>
      </c>
      <c r="CJ155" s="133"/>
      <c r="CK155" s="62">
        <v>45700</v>
      </c>
      <c r="CL155" s="62">
        <v>45719</v>
      </c>
      <c r="CM155" s="24" t="s">
        <v>355</v>
      </c>
      <c r="CN155" s="9" t="s">
        <v>339</v>
      </c>
      <c r="CO155" s="9" t="s">
        <v>341</v>
      </c>
      <c r="CP155" s="32" t="str">
        <f t="shared" si="100"/>
        <v>GARCIA RUANO ALEXANDER ALBERTO</v>
      </c>
      <c r="CQ155" s="9" t="s">
        <v>467</v>
      </c>
      <c r="CR155" s="75" t="s">
        <v>470</v>
      </c>
    </row>
    <row r="156" spans="1:96" s="19" customFormat="1" ht="144" customHeight="1" x14ac:dyDescent="0.3">
      <c r="A156" s="4" t="s">
        <v>899</v>
      </c>
      <c r="B156" s="8" t="s">
        <v>276</v>
      </c>
      <c r="C156" s="8" t="s">
        <v>277</v>
      </c>
      <c r="D156" s="8" t="s">
        <v>278</v>
      </c>
      <c r="E156" s="22" t="s">
        <v>301</v>
      </c>
      <c r="F156" s="42" t="s">
        <v>154</v>
      </c>
      <c r="G156" s="15" t="s">
        <v>311</v>
      </c>
      <c r="H156" s="8" t="s">
        <v>308</v>
      </c>
      <c r="I156" s="9" t="s">
        <v>896</v>
      </c>
      <c r="J156" s="9" t="s">
        <v>156</v>
      </c>
      <c r="K156" s="10">
        <v>2025</v>
      </c>
      <c r="L156" s="11" t="s">
        <v>46</v>
      </c>
      <c r="M156" s="11" t="s">
        <v>47</v>
      </c>
      <c r="N156" s="11" t="s">
        <v>47</v>
      </c>
      <c r="O156" s="12">
        <v>35</v>
      </c>
      <c r="P156" s="4" t="s">
        <v>312</v>
      </c>
      <c r="Q156" s="13"/>
      <c r="R156" s="14" t="s">
        <v>48</v>
      </c>
      <c r="S156" s="15" t="s">
        <v>49</v>
      </c>
      <c r="T156" s="15" t="s">
        <v>50</v>
      </c>
      <c r="U156" s="7" t="s">
        <v>160</v>
      </c>
      <c r="V156" s="7" t="s">
        <v>161</v>
      </c>
      <c r="W156" s="7" t="s">
        <v>162</v>
      </c>
      <c r="X156" s="7" t="s">
        <v>163</v>
      </c>
      <c r="Y156" s="16" t="s">
        <v>55</v>
      </c>
      <c r="Z156" s="21">
        <v>275132.90000000002</v>
      </c>
      <c r="AA156" s="55">
        <v>1</v>
      </c>
      <c r="AB156" s="55"/>
      <c r="AC156" s="55"/>
      <c r="AD156" s="18">
        <f t="shared" si="44"/>
        <v>1</v>
      </c>
      <c r="AE156" s="38">
        <v>191030</v>
      </c>
      <c r="AF156" s="38"/>
      <c r="AG156" s="38"/>
      <c r="AH156" s="38">
        <f t="shared" si="115"/>
        <v>191030</v>
      </c>
      <c r="AI156" s="38"/>
      <c r="AJ156" s="38"/>
      <c r="AK156" s="359"/>
      <c r="AL156" s="359"/>
      <c r="AM156" s="74">
        <f t="shared" si="88"/>
        <v>275132.90000000002</v>
      </c>
      <c r="AN156" s="38"/>
      <c r="AO156" s="38"/>
      <c r="AP156" s="74">
        <f t="shared" si="89"/>
        <v>275132.90000000002</v>
      </c>
      <c r="AQ156" s="38"/>
      <c r="AR156" s="38"/>
      <c r="AS156" s="74">
        <f t="shared" si="90"/>
        <v>275132.90000000002</v>
      </c>
      <c r="AT156" s="38"/>
      <c r="AU156" s="38"/>
      <c r="AV156" s="38">
        <f t="shared" si="91"/>
        <v>275132.90000000002</v>
      </c>
      <c r="AW156" s="38"/>
      <c r="AX156" s="38"/>
      <c r="AY156" s="38">
        <f t="shared" si="92"/>
        <v>275132.90000000002</v>
      </c>
      <c r="AZ156" s="38"/>
      <c r="BA156" s="38"/>
      <c r="BB156" s="38">
        <f t="shared" si="93"/>
        <v>275132.90000000002</v>
      </c>
      <c r="BC156" s="74"/>
      <c r="BD156" s="74">
        <v>84102.900000000023</v>
      </c>
      <c r="BE156" s="74">
        <f t="shared" si="114"/>
        <v>191030</v>
      </c>
      <c r="BF156" s="74"/>
      <c r="BG156" s="74"/>
      <c r="BH156" s="38">
        <f t="shared" si="104"/>
        <v>191030</v>
      </c>
      <c r="BI156" s="38"/>
      <c r="BJ156" s="38"/>
      <c r="BK156" s="38">
        <f t="shared" si="105"/>
        <v>191030</v>
      </c>
      <c r="BL156" s="337" t="s">
        <v>56</v>
      </c>
      <c r="BM156" s="37"/>
      <c r="BN156" s="131"/>
      <c r="BO156" s="32" t="s">
        <v>996</v>
      </c>
      <c r="BP156" s="67">
        <f>275132.9-84102.9</f>
        <v>191030.00000000003</v>
      </c>
      <c r="BQ156" s="67"/>
      <c r="BR156" s="34"/>
      <c r="BS156" s="34"/>
      <c r="BT156" s="34"/>
      <c r="BU156" s="34"/>
      <c r="BV156" s="34"/>
      <c r="BW156" s="32" t="s">
        <v>992</v>
      </c>
      <c r="BX156" s="67">
        <f>-84102.9+275132.9</f>
        <v>191030.00000000003</v>
      </c>
      <c r="BY156" s="95"/>
      <c r="BZ156" s="95"/>
      <c r="CA156" s="95"/>
      <c r="CB156" s="95"/>
      <c r="CC156" s="34" t="s">
        <v>507</v>
      </c>
      <c r="CD156" s="67">
        <v>191030</v>
      </c>
      <c r="CE156" s="67">
        <v>191030</v>
      </c>
      <c r="CF156" s="781">
        <f t="shared" si="103"/>
        <v>0</v>
      </c>
      <c r="CG156" s="133" t="s">
        <v>544</v>
      </c>
      <c r="CH156" s="133" t="s">
        <v>544</v>
      </c>
      <c r="CI156" s="133" t="s">
        <v>544</v>
      </c>
      <c r="CJ156" s="133"/>
      <c r="CK156" s="62">
        <v>45700</v>
      </c>
      <c r="CL156" s="62">
        <v>45719</v>
      </c>
      <c r="CM156" s="24" t="s">
        <v>355</v>
      </c>
      <c r="CN156" s="9" t="s">
        <v>339</v>
      </c>
      <c r="CO156" s="9" t="s">
        <v>341</v>
      </c>
      <c r="CP156" s="9" t="str">
        <f t="shared" si="100"/>
        <v>GARCIA RUANO ALEXANDER ALBERTO</v>
      </c>
      <c r="CQ156" s="9" t="s">
        <v>467</v>
      </c>
      <c r="CR156" s="75" t="s">
        <v>470</v>
      </c>
    </row>
    <row r="157" spans="1:96" s="19" customFormat="1" ht="282.60000000000002" customHeight="1" x14ac:dyDescent="0.3">
      <c r="A157" s="4" t="s">
        <v>899</v>
      </c>
      <c r="B157" s="8" t="s">
        <v>276</v>
      </c>
      <c r="C157" s="8" t="s">
        <v>277</v>
      </c>
      <c r="D157" s="8" t="s">
        <v>278</v>
      </c>
      <c r="E157" s="22" t="s">
        <v>313</v>
      </c>
      <c r="F157" s="42" t="s">
        <v>314</v>
      </c>
      <c r="G157" s="15" t="s">
        <v>315</v>
      </c>
      <c r="H157" s="8" t="s">
        <v>308</v>
      </c>
      <c r="I157" s="9" t="s">
        <v>908</v>
      </c>
      <c r="J157" s="9" t="s">
        <v>156</v>
      </c>
      <c r="K157" s="10">
        <v>2025</v>
      </c>
      <c r="L157" s="11" t="s">
        <v>46</v>
      </c>
      <c r="M157" s="11" t="s">
        <v>47</v>
      </c>
      <c r="N157" s="11" t="s">
        <v>47</v>
      </c>
      <c r="O157" s="12" t="s">
        <v>316</v>
      </c>
      <c r="P157" s="4" t="s">
        <v>317</v>
      </c>
      <c r="Q157" s="13"/>
      <c r="R157" s="14" t="s">
        <v>48</v>
      </c>
      <c r="S157" s="15" t="s">
        <v>49</v>
      </c>
      <c r="T157" s="15" t="s">
        <v>50</v>
      </c>
      <c r="U157" s="7" t="s">
        <v>160</v>
      </c>
      <c r="V157" s="7" t="s">
        <v>161</v>
      </c>
      <c r="W157" s="7" t="s">
        <v>162</v>
      </c>
      <c r="X157" s="7" t="s">
        <v>163</v>
      </c>
      <c r="Y157" s="16" t="s">
        <v>55</v>
      </c>
      <c r="Z157" s="21">
        <v>30000</v>
      </c>
      <c r="AA157" s="55"/>
      <c r="AB157" s="55"/>
      <c r="AC157" s="55">
        <v>1</v>
      </c>
      <c r="AD157" s="18">
        <f t="shared" si="44"/>
        <v>1</v>
      </c>
      <c r="AE157" s="38"/>
      <c r="AF157" s="38"/>
      <c r="AG157" s="38">
        <f>+BK157</f>
        <v>385129.69</v>
      </c>
      <c r="AH157" s="38">
        <f t="shared" si="115"/>
        <v>385129.69</v>
      </c>
      <c r="AI157" s="38"/>
      <c r="AJ157" s="38"/>
      <c r="AK157" s="74">
        <v>182612.53</v>
      </c>
      <c r="AL157" s="359"/>
      <c r="AM157" s="74">
        <f t="shared" si="88"/>
        <v>212612.53</v>
      </c>
      <c r="AN157" s="38"/>
      <c r="AO157" s="38"/>
      <c r="AP157" s="74">
        <f t="shared" si="89"/>
        <v>212612.53</v>
      </c>
      <c r="AQ157" s="38"/>
      <c r="AR157" s="38"/>
      <c r="AS157" s="74">
        <f t="shared" si="90"/>
        <v>212612.53</v>
      </c>
      <c r="AT157" s="38"/>
      <c r="AU157" s="38"/>
      <c r="AV157" s="38">
        <f t="shared" si="91"/>
        <v>212612.53</v>
      </c>
      <c r="AW157" s="38"/>
      <c r="AX157" s="38"/>
      <c r="AY157" s="38">
        <f t="shared" si="92"/>
        <v>212612.53</v>
      </c>
      <c r="AZ157" s="38"/>
      <c r="BA157" s="38"/>
      <c r="BB157" s="38">
        <f>+AY157+AZ157-BA157</f>
        <v>212612.53</v>
      </c>
      <c r="BC157" s="74">
        <f>172748.29-231.13</f>
        <v>172517.16</v>
      </c>
      <c r="BD157" s="74"/>
      <c r="BE157" s="74">
        <f t="shared" si="114"/>
        <v>385129.69</v>
      </c>
      <c r="BF157" s="74"/>
      <c r="BG157" s="74"/>
      <c r="BH157" s="38">
        <f t="shared" si="104"/>
        <v>385129.69</v>
      </c>
      <c r="BI157" s="38"/>
      <c r="BJ157" s="38"/>
      <c r="BK157" s="38">
        <f t="shared" si="105"/>
        <v>385129.69</v>
      </c>
      <c r="BL157" s="337" t="s">
        <v>177</v>
      </c>
      <c r="BM157" s="37"/>
      <c r="BN157" s="131"/>
      <c r="BO157" s="34"/>
      <c r="BP157" s="34"/>
      <c r="BQ157" s="34"/>
      <c r="BR157" s="34"/>
      <c r="BS157" s="34"/>
      <c r="BT157" s="34"/>
      <c r="BU157" s="34"/>
      <c r="BV157" s="34"/>
      <c r="BW157" s="95"/>
      <c r="BX157" s="95"/>
      <c r="BY157" s="95"/>
      <c r="BZ157" s="95"/>
      <c r="CA157" s="95"/>
      <c r="CB157" s="95"/>
      <c r="CC157" s="95"/>
      <c r="CD157" s="96"/>
      <c r="CE157" s="67"/>
      <c r="CF157" s="781">
        <f t="shared" si="103"/>
        <v>0</v>
      </c>
      <c r="CG157" s="135" t="s">
        <v>467</v>
      </c>
      <c r="CH157" s="135"/>
      <c r="CI157" s="410" t="s">
        <v>874</v>
      </c>
      <c r="CJ157" s="410"/>
      <c r="CK157" s="62">
        <v>45742</v>
      </c>
      <c r="CL157" s="62">
        <v>45756</v>
      </c>
      <c r="CM157" s="9" t="s">
        <v>335</v>
      </c>
      <c r="CN157" s="9" t="s">
        <v>341</v>
      </c>
      <c r="CO157" s="24" t="s">
        <v>355</v>
      </c>
      <c r="CP157" s="9" t="str">
        <f t="shared" si="100"/>
        <v>CHAQUINGA TUMAILLA DARWIN JAVIER</v>
      </c>
      <c r="CQ157" s="9"/>
      <c r="CR157" s="9"/>
    </row>
    <row r="158" spans="1:96" s="364" customFormat="1" ht="60" customHeight="1" x14ac:dyDescent="0.3">
      <c r="A158" s="38"/>
      <c r="B158" s="38"/>
      <c r="C158" s="38"/>
      <c r="D158" s="38"/>
      <c r="E158" s="38"/>
      <c r="F158" s="68"/>
      <c r="G158" s="361" t="s">
        <v>324</v>
      </c>
      <c r="H158" s="361"/>
      <c r="I158" s="361"/>
      <c r="J158" s="362"/>
      <c r="K158" s="361"/>
      <c r="L158" s="361"/>
      <c r="M158" s="361"/>
      <c r="N158" s="361"/>
      <c r="O158" s="361"/>
      <c r="P158" s="361"/>
      <c r="Q158" s="361"/>
      <c r="R158" s="362"/>
      <c r="S158" s="361"/>
      <c r="T158" s="361"/>
      <c r="U158" s="361"/>
      <c r="V158" s="361"/>
      <c r="W158" s="361"/>
      <c r="X158" s="361"/>
      <c r="Y158" s="361"/>
      <c r="Z158" s="77">
        <f>SUM(Z8:Z157)</f>
        <v>2071388.103333333</v>
      </c>
      <c r="AA158" s="38"/>
      <c r="AB158" s="38"/>
      <c r="AC158" s="38"/>
      <c r="AD158" s="38"/>
      <c r="AE158" s="77">
        <f t="shared" ref="AE158:BL158" si="123">SUM(AE8:AE157)</f>
        <v>647472.24133333354</v>
      </c>
      <c r="AF158" s="77">
        <f t="shared" si="123"/>
        <v>558084.55333333358</v>
      </c>
      <c r="AG158" s="77">
        <f t="shared" si="123"/>
        <v>1055899.7720000003</v>
      </c>
      <c r="AH158" s="77">
        <f t="shared" si="123"/>
        <v>2261456.5666666669</v>
      </c>
      <c r="AI158" s="77">
        <f t="shared" si="123"/>
        <v>0.62</v>
      </c>
      <c r="AJ158" s="77">
        <f t="shared" si="123"/>
        <v>0.62</v>
      </c>
      <c r="AK158" s="77">
        <f t="shared" si="123"/>
        <v>213450.09</v>
      </c>
      <c r="AL158" s="77">
        <f t="shared" si="123"/>
        <v>0</v>
      </c>
      <c r="AM158" s="77">
        <f t="shared" si="123"/>
        <v>2280346.813333333</v>
      </c>
      <c r="AN158" s="77">
        <f t="shared" si="123"/>
        <v>7440.1180000000004</v>
      </c>
      <c r="AO158" s="77">
        <f t="shared" si="123"/>
        <v>12795.177</v>
      </c>
      <c r="AP158" s="77">
        <f t="shared" si="123"/>
        <v>2274991.7543333331</v>
      </c>
      <c r="AQ158" s="77">
        <f t="shared" si="123"/>
        <v>3170.72</v>
      </c>
      <c r="AR158" s="77">
        <f t="shared" si="123"/>
        <v>2973.2200000000003</v>
      </c>
      <c r="AS158" s="77">
        <f t="shared" si="123"/>
        <v>2275189.2543333331</v>
      </c>
      <c r="AT158" s="77">
        <f t="shared" si="123"/>
        <v>17734.939999999999</v>
      </c>
      <c r="AU158" s="77">
        <f t="shared" si="123"/>
        <v>35554.51</v>
      </c>
      <c r="AV158" s="77">
        <f t="shared" si="123"/>
        <v>2257369.6843333337</v>
      </c>
      <c r="AW158" s="77">
        <f t="shared" si="123"/>
        <v>19460.559999999998</v>
      </c>
      <c r="AX158" s="77">
        <f t="shared" si="123"/>
        <v>19460.559999999998</v>
      </c>
      <c r="AY158" s="77">
        <f t="shared" si="123"/>
        <v>2257369.6843333337</v>
      </c>
      <c r="AZ158" s="77">
        <f t="shared" si="123"/>
        <v>1460.4</v>
      </c>
      <c r="BA158" s="77">
        <f t="shared" si="123"/>
        <v>1360.4</v>
      </c>
      <c r="BB158" s="77">
        <f t="shared" si="123"/>
        <v>2251421.2233333336</v>
      </c>
      <c r="BC158" s="77">
        <f t="shared" si="123"/>
        <v>363655.58999999997</v>
      </c>
      <c r="BD158" s="77">
        <f t="shared" si="123"/>
        <v>334521.58</v>
      </c>
      <c r="BE158" s="77">
        <f t="shared" si="123"/>
        <v>2263338.5666666669</v>
      </c>
      <c r="BF158" s="77">
        <f t="shared" si="123"/>
        <v>24181.059999999998</v>
      </c>
      <c r="BG158" s="77">
        <f t="shared" si="123"/>
        <v>24081.059999999998</v>
      </c>
      <c r="BH158" s="77">
        <f t="shared" si="123"/>
        <v>2262053.5666666669</v>
      </c>
      <c r="BI158" s="77">
        <f t="shared" si="123"/>
        <v>13068.67</v>
      </c>
      <c r="BJ158" s="77">
        <f t="shared" si="123"/>
        <v>13068.67</v>
      </c>
      <c r="BK158" s="77">
        <f t="shared" si="123"/>
        <v>2262053.5666666669</v>
      </c>
      <c r="BL158" s="77">
        <f t="shared" si="123"/>
        <v>0</v>
      </c>
      <c r="BM158" s="77">
        <f>SUM(BM8:BM157)</f>
        <v>267264.06333333335</v>
      </c>
      <c r="BN158" s="77">
        <f t="shared" ref="BN158" si="124">SUM(BN8:BN157)</f>
        <v>285</v>
      </c>
      <c r="BO158" s="38"/>
      <c r="BP158" s="77">
        <f>SUM(BP8:BP157)</f>
        <v>1330148.0949999997</v>
      </c>
      <c r="BQ158" s="77"/>
      <c r="BR158" s="38"/>
      <c r="BS158" s="38"/>
      <c r="BT158" s="38"/>
      <c r="BU158" s="38"/>
      <c r="BV158" s="38"/>
      <c r="BW158" s="100"/>
      <c r="BX158" s="77">
        <f>SUM(BX8:BX157)</f>
        <v>1338834.6649999998</v>
      </c>
      <c r="BY158" s="100"/>
      <c r="BZ158" s="100"/>
      <c r="CA158" s="100"/>
      <c r="CB158" s="100"/>
      <c r="CC158" s="100"/>
      <c r="CD158" s="77">
        <f t="shared" ref="CD158:CE158" si="125">SUM(CD8:CD157)</f>
        <v>1242386.6499999997</v>
      </c>
      <c r="CE158" s="77">
        <f t="shared" si="125"/>
        <v>1205744.6299999999</v>
      </c>
      <c r="CF158" s="77"/>
      <c r="CG158" s="77"/>
      <c r="CH158" s="77"/>
      <c r="CI158" s="77"/>
      <c r="CJ158" s="77"/>
      <c r="CK158" s="38"/>
      <c r="CL158" s="361"/>
      <c r="CM158" s="68"/>
      <c r="CN158" s="68"/>
      <c r="CO158" s="68"/>
      <c r="CP158" s="68"/>
      <c r="CQ158" s="363"/>
      <c r="CR158" s="363"/>
    </row>
    <row r="159" spans="1:96" x14ac:dyDescent="0.35">
      <c r="Z159" s="45"/>
      <c r="BF159" s="526"/>
      <c r="BG159" s="526"/>
      <c r="BH159" s="526"/>
      <c r="BI159" s="526"/>
      <c r="BJ159" s="526"/>
      <c r="CD159" s="104"/>
      <c r="CE159" s="83"/>
      <c r="CF159" s="83"/>
    </row>
    <row r="162" spans="6:81" x14ac:dyDescent="0.35">
      <c r="BS162" s="19"/>
      <c r="BT162" s="19"/>
    </row>
    <row r="163" spans="6:81" x14ac:dyDescent="0.35">
      <c r="BX163" s="105">
        <f>+BX156-CD156</f>
        <v>0</v>
      </c>
    </row>
    <row r="164" spans="6:81" x14ac:dyDescent="0.35">
      <c r="BX164" s="105">
        <f>+BX155-CD155</f>
        <v>0</v>
      </c>
    </row>
    <row r="166" spans="6:81" x14ac:dyDescent="0.35">
      <c r="H166" s="405">
        <f>+'POA2025'!BD558</f>
        <v>0</v>
      </c>
      <c r="CC166" s="525"/>
    </row>
    <row r="167" spans="6:81" x14ac:dyDescent="0.35">
      <c r="F167" s="417"/>
      <c r="CC167" s="525"/>
    </row>
    <row r="168" spans="6:81" x14ac:dyDescent="0.35">
      <c r="CC168" s="525"/>
    </row>
  </sheetData>
  <autoFilter ref="A7:CR158"/>
  <dataConsolidate/>
  <mergeCells count="114">
    <mergeCell ref="BA6:BA7"/>
    <mergeCell ref="AY3:AY7"/>
    <mergeCell ref="BK3:BK7"/>
    <mergeCell ref="BD6:BD7"/>
    <mergeCell ref="AT6:AT7"/>
    <mergeCell ref="BB3:BB7"/>
    <mergeCell ref="BC3:BD5"/>
    <mergeCell ref="BC6:BC7"/>
    <mergeCell ref="BE3:BE7"/>
    <mergeCell ref="BF3:BG5"/>
    <mergeCell ref="BF6:BF7"/>
    <mergeCell ref="BG6:BG7"/>
    <mergeCell ref="BI3:BJ5"/>
    <mergeCell ref="BH3:BH6"/>
    <mergeCell ref="BI6:BI7"/>
    <mergeCell ref="BJ6:BJ7"/>
    <mergeCell ref="AT3:AU5"/>
    <mergeCell ref="AW3:AX5"/>
    <mergeCell ref="AW6:AW7"/>
    <mergeCell ref="AU6:AU7"/>
    <mergeCell ref="AX6:AX7"/>
    <mergeCell ref="AV3:AV7"/>
    <mergeCell ref="CR3:CR7"/>
    <mergeCell ref="BL6:BL7"/>
    <mergeCell ref="BM6:BN6"/>
    <mergeCell ref="BL3:BN5"/>
    <mergeCell ref="BO3:BR3"/>
    <mergeCell ref="BW5:BW7"/>
    <mergeCell ref="BX5:BX7"/>
    <mergeCell ref="BO5:BO7"/>
    <mergeCell ref="BP5:BP7"/>
    <mergeCell ref="BO4:BP4"/>
    <mergeCell ref="BR5:BR7"/>
    <mergeCell ref="BY5:BY7"/>
    <mergeCell ref="CH3:CH7"/>
    <mergeCell ref="CI3:CI7"/>
    <mergeCell ref="CG3:CG7"/>
    <mergeCell ref="CQ3:CQ7"/>
    <mergeCell ref="CJ3:CJ6"/>
    <mergeCell ref="CE5:CE7"/>
    <mergeCell ref="BU5:BU7"/>
    <mergeCell ref="BV5:BV7"/>
    <mergeCell ref="A4:A7"/>
    <mergeCell ref="B4:B7"/>
    <mergeCell ref="C4:C7"/>
    <mergeCell ref="D4:D7"/>
    <mergeCell ref="E4:E7"/>
    <mergeCell ref="A3:Q3"/>
    <mergeCell ref="R3:T3"/>
    <mergeCell ref="U3:X3"/>
    <mergeCell ref="L4:L7"/>
    <mergeCell ref="M4:M7"/>
    <mergeCell ref="N4:N7"/>
    <mergeCell ref="O4:O7"/>
    <mergeCell ref="P4:P7"/>
    <mergeCell ref="W4:W7"/>
    <mergeCell ref="H4:H7"/>
    <mergeCell ref="X4:X7"/>
    <mergeCell ref="S4:S7"/>
    <mergeCell ref="T4:T7"/>
    <mergeCell ref="U4:U7"/>
    <mergeCell ref="I4:I7"/>
    <mergeCell ref="J4:J7"/>
    <mergeCell ref="V4:V7"/>
    <mergeCell ref="K4:K7"/>
    <mergeCell ref="Q4:Q7"/>
    <mergeCell ref="AH6:AH7"/>
    <mergeCell ref="CK1:CP1"/>
    <mergeCell ref="CL3:CL7"/>
    <mergeCell ref="CK3:CK7"/>
    <mergeCell ref="CM3:CM7"/>
    <mergeCell ref="CN3:CN7"/>
    <mergeCell ref="CO3:CO7"/>
    <mergeCell ref="CP3:CP7"/>
    <mergeCell ref="CC5:CC7"/>
    <mergeCell ref="CD5:CD7"/>
    <mergeCell ref="BW3:CE3"/>
    <mergeCell ref="CC4:CD4"/>
    <mergeCell ref="BW4:BX4"/>
    <mergeCell ref="AZ3:BA5"/>
    <mergeCell ref="AZ6:AZ7"/>
    <mergeCell ref="AP3:AP7"/>
    <mergeCell ref="BQ4:BR4"/>
    <mergeCell ref="BQ5:BQ7"/>
    <mergeCell ref="BS5:BS7"/>
    <mergeCell ref="BS4:BT4"/>
    <mergeCell ref="BT5:BT7"/>
    <mergeCell ref="A2:BN2"/>
    <mergeCell ref="A1:BN1"/>
    <mergeCell ref="F4:F7"/>
    <mergeCell ref="AS3:AS7"/>
    <mergeCell ref="G4:G7"/>
    <mergeCell ref="AO6:AO7"/>
    <mergeCell ref="AM3:AM7"/>
    <mergeCell ref="AK3:AL5"/>
    <mergeCell ref="AK6:AK7"/>
    <mergeCell ref="AL6:AL7"/>
    <mergeCell ref="AJ6:AJ7"/>
    <mergeCell ref="AR6:AR7"/>
    <mergeCell ref="AQ3:AR5"/>
    <mergeCell ref="AQ6:AQ7"/>
    <mergeCell ref="R4:R7"/>
    <mergeCell ref="Y3:AH3"/>
    <mergeCell ref="Y4:Y7"/>
    <mergeCell ref="Z4:Z7"/>
    <mergeCell ref="AA4:AD5"/>
    <mergeCell ref="AA6:AC6"/>
    <mergeCell ref="AD6:AD7"/>
    <mergeCell ref="AI3:AJ5"/>
    <mergeCell ref="AN3:AO5"/>
    <mergeCell ref="AN6:AN7"/>
    <mergeCell ref="AE6:AG6"/>
    <mergeCell ref="AE4:AH5"/>
    <mergeCell ref="AI6:AI7"/>
  </mergeCells>
  <conditionalFormatting sqref="E136">
    <cfRule type="duplicateValues" dxfId="7" priority="25"/>
  </conditionalFormatting>
  <conditionalFormatting sqref="E144:E146 E148:E149">
    <cfRule type="duplicateValues" dxfId="6" priority="24"/>
  </conditionalFormatting>
  <conditionalFormatting sqref="E153">
    <cfRule type="duplicateValues" dxfId="5" priority="10"/>
  </conditionalFormatting>
  <conditionalFormatting sqref="E154">
    <cfRule type="duplicateValues" dxfId="4" priority="23"/>
  </conditionalFormatting>
  <conditionalFormatting sqref="AA8:AC24">
    <cfRule type="cellIs" dxfId="3" priority="12" operator="greaterThan">
      <formula>0</formula>
    </cfRule>
  </conditionalFormatting>
  <conditionalFormatting sqref="AA27:AC90">
    <cfRule type="cellIs" dxfId="2" priority="1" operator="greaterThan">
      <formula>0</formula>
    </cfRule>
  </conditionalFormatting>
  <conditionalFormatting sqref="AA93:AC157">
    <cfRule type="cellIs" dxfId="1" priority="7" operator="greaterThan">
      <formula>0</formula>
    </cfRule>
  </conditionalFormatting>
  <conditionalFormatting sqref="AB25:AC26 AB91:AC92">
    <cfRule type="cellIs" dxfId="0" priority="18" operator="greaterThan">
      <formula>0</formula>
    </cfRule>
  </conditionalFormatting>
  <dataValidations disablePrompts="1" count="4">
    <dataValidation type="list" allowBlank="1" showInputMessage="1" showErrorMessage="1" sqref="CQ120:CQ142 CQ8:CQ117">
      <formula1>$B$25:$B$30</formula1>
    </dataValidation>
    <dataValidation type="list" allowBlank="1" showInputMessage="1" showErrorMessage="1" sqref="CQ8:CR19 CR26:CR41 CR57:CR66 CQ42:CR45 CQ49:CR50 CR46:CR48 CQ24:CR24 CR91:CR97 CR51:CR55 CR68:CR89">
      <formula1>$C$25:$C$27</formula1>
    </dataValidation>
    <dataValidation type="list" allowBlank="1" showInputMessage="1" showErrorMessage="1" sqref="CQ118:CQ119">
      <formula1>$B$25:$B$31</formula1>
    </dataValidation>
    <dataValidation type="list" allowBlank="1" showInputMessage="1" showErrorMessage="1" sqref="CQ143:CQ157 CR100:CR157">
      <formula1>#REF!</formula1>
    </dataValidation>
  </dataValidations>
  <pageMargins left="0.25" right="0.25" top="0.75" bottom="0.75" header="0.3" footer="0.3"/>
  <pageSetup paperSize="9" scale="19" fitToHeight="0" orientation="landscape" blackAndWhite="1" r:id="rId1"/>
  <rowBreaks count="1" manualBreakCount="1">
    <brk id="156" max="36" man="1"/>
  </rowBreaks>
  <colBreaks count="1" manualBreakCount="1">
    <brk id="63"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57"/>
  <sheetViews>
    <sheetView topLeftCell="A7" zoomScale="56" zoomScaleNormal="56" workbookViewId="0">
      <selection activeCell="C105" sqref="C105:C106"/>
    </sheetView>
  </sheetViews>
  <sheetFormatPr baseColWidth="10" defaultColWidth="11.44140625" defaultRowHeight="13.8" x14ac:dyDescent="0.25"/>
  <cols>
    <col min="1" max="1" width="4.6640625" style="137" customWidth="1"/>
    <col min="2" max="2" width="21.44140625" style="137" customWidth="1"/>
    <col min="3" max="3" width="56.44140625" style="137" customWidth="1"/>
    <col min="4" max="4" width="20.44140625" style="139" hidden="1" customWidth="1"/>
    <col min="5" max="5" width="22.33203125" style="139" customWidth="1"/>
    <col min="6" max="6" width="15.6640625" style="137" hidden="1" customWidth="1"/>
    <col min="7" max="7" width="16.44140625" style="137" hidden="1" customWidth="1"/>
    <col min="8" max="8" width="16.5546875" style="137" hidden="1" customWidth="1"/>
    <col min="9" max="9" width="20.6640625" style="137" hidden="1" customWidth="1"/>
    <col min="10" max="10" width="20" style="137" hidden="1" customWidth="1"/>
    <col min="11" max="11" width="20.88671875" style="137" hidden="1" customWidth="1"/>
    <col min="12" max="12" width="24.5546875" style="137" hidden="1" customWidth="1"/>
    <col min="13" max="13" width="13.109375" style="179" hidden="1" customWidth="1"/>
    <col min="14" max="14" width="38.88671875" style="137" customWidth="1"/>
    <col min="15" max="15" width="19.5546875" style="137" customWidth="1"/>
    <col min="16" max="16" width="25" style="137" customWidth="1"/>
    <col min="17" max="17" width="19.5546875" style="137" customWidth="1"/>
    <col min="18" max="16384" width="11.44140625" style="137"/>
  </cols>
  <sheetData>
    <row r="1" spans="2:17" ht="47.25" customHeight="1" x14ac:dyDescent="0.25">
      <c r="B1" s="739" t="str">
        <f>+[3]Estimacion!A2</f>
        <v>CUERPO DE BOMBEROS MUNICIPAL DEL CANTÓN PASTAZA</v>
      </c>
      <c r="C1" s="739"/>
      <c r="D1" s="739"/>
      <c r="E1" s="739"/>
      <c r="F1" s="739"/>
      <c r="G1" s="739"/>
      <c r="H1" s="739"/>
      <c r="I1" s="739"/>
      <c r="J1" s="739"/>
      <c r="K1" s="739"/>
      <c r="L1" s="739"/>
      <c r="M1" s="739"/>
    </row>
    <row r="2" spans="2:17" ht="25.95" customHeight="1" x14ac:dyDescent="0.25">
      <c r="B2" s="740" t="s">
        <v>614</v>
      </c>
      <c r="C2" s="740"/>
      <c r="D2" s="740"/>
      <c r="E2" s="740"/>
      <c r="F2" s="740"/>
      <c r="G2" s="740"/>
      <c r="H2" s="740"/>
      <c r="I2" s="740"/>
      <c r="J2" s="740"/>
      <c r="K2" s="740"/>
      <c r="L2" s="740"/>
      <c r="M2" s="740"/>
    </row>
    <row r="3" spans="2:17" s="136" customFormat="1" ht="28.5" customHeight="1" thickBot="1" x14ac:dyDescent="0.3">
      <c r="B3" s="138" t="s">
        <v>615</v>
      </c>
      <c r="C3" s="741" t="s">
        <v>616</v>
      </c>
      <c r="D3" s="741"/>
      <c r="E3" s="741"/>
      <c r="M3" s="318"/>
      <c r="O3" s="175"/>
      <c r="P3" s="176"/>
      <c r="Q3" s="177"/>
    </row>
    <row r="4" spans="2:17" ht="25.2" customHeight="1" thickBot="1" x14ac:dyDescent="0.3">
      <c r="B4" s="742" t="s">
        <v>573</v>
      </c>
      <c r="C4" s="745" t="s">
        <v>574</v>
      </c>
      <c r="E4" s="742" t="s">
        <v>518</v>
      </c>
      <c r="F4" s="733" t="s">
        <v>1080</v>
      </c>
      <c r="G4" s="748"/>
      <c r="H4" s="748"/>
      <c r="I4" s="748"/>
      <c r="J4" s="748"/>
      <c r="K4" s="734"/>
      <c r="L4" s="742" t="s">
        <v>397</v>
      </c>
      <c r="M4" s="742" t="s">
        <v>328</v>
      </c>
      <c r="N4" s="742" t="s">
        <v>525</v>
      </c>
      <c r="O4" s="179"/>
      <c r="P4" s="180"/>
      <c r="Q4" s="178"/>
    </row>
    <row r="5" spans="2:17" s="136" customFormat="1" ht="31.95" customHeight="1" thickBot="1" x14ac:dyDescent="0.3">
      <c r="B5" s="743"/>
      <c r="C5" s="746"/>
      <c r="D5" s="585" t="s">
        <v>617</v>
      </c>
      <c r="E5" s="743"/>
      <c r="F5" s="733" t="s">
        <v>878</v>
      </c>
      <c r="G5" s="734"/>
      <c r="H5" s="733" t="s">
        <v>797</v>
      </c>
      <c r="I5" s="734"/>
      <c r="J5" s="733" t="s">
        <v>798</v>
      </c>
      <c r="K5" s="734"/>
      <c r="L5" s="743"/>
      <c r="M5" s="743"/>
      <c r="N5" s="743"/>
      <c r="O5" s="179"/>
      <c r="P5" s="180"/>
      <c r="Q5" s="178"/>
    </row>
    <row r="6" spans="2:17" s="136" customFormat="1" ht="30.6" customHeight="1" thickBot="1" x14ac:dyDescent="0.3">
      <c r="B6" s="744"/>
      <c r="C6" s="747"/>
      <c r="D6" s="202"/>
      <c r="E6" s="744"/>
      <c r="F6" s="140" t="s">
        <v>521</v>
      </c>
      <c r="G6" s="140" t="s">
        <v>520</v>
      </c>
      <c r="H6" s="140" t="s">
        <v>521</v>
      </c>
      <c r="I6" s="140" t="s">
        <v>520</v>
      </c>
      <c r="J6" s="140" t="s">
        <v>403</v>
      </c>
      <c r="K6" s="140" t="s">
        <v>395</v>
      </c>
      <c r="L6" s="744"/>
      <c r="M6" s="744"/>
      <c r="N6" s="744"/>
      <c r="O6" s="137"/>
      <c r="P6" s="137"/>
      <c r="Q6" s="137"/>
    </row>
    <row r="7" spans="2:17" s="144" customFormat="1" ht="21" customHeight="1" x14ac:dyDescent="0.3">
      <c r="B7" s="141"/>
      <c r="C7" s="142" t="s">
        <v>796</v>
      </c>
      <c r="D7" s="143"/>
      <c r="E7" s="143">
        <f>+E8+E21+E42+E55+E66+E71</f>
        <v>1297713.4740476189</v>
      </c>
      <c r="F7" s="143"/>
      <c r="G7" s="143"/>
      <c r="H7" s="143"/>
      <c r="I7" s="143"/>
      <c r="J7" s="143"/>
      <c r="K7" s="143"/>
      <c r="L7" s="143">
        <f>+L21+L42+L55+L71</f>
        <v>1297713.4740476189</v>
      </c>
      <c r="M7" s="323">
        <f>((L7*100%)/L107)</f>
        <v>0.57368821363746381</v>
      </c>
      <c r="N7" s="143">
        <f>+N21+N42+N55+N71</f>
        <v>1352908.48</v>
      </c>
      <c r="O7" s="137"/>
      <c r="P7" s="137"/>
      <c r="Q7" s="137"/>
    </row>
    <row r="8" spans="2:17" ht="18.75" hidden="1" customHeight="1" x14ac:dyDescent="0.25">
      <c r="B8" s="145" t="s">
        <v>618</v>
      </c>
      <c r="C8" s="145" t="s">
        <v>619</v>
      </c>
      <c r="D8" s="146"/>
      <c r="E8" s="147">
        <f>+E9+E12+E19</f>
        <v>0</v>
      </c>
      <c r="F8" s="147"/>
      <c r="G8" s="147"/>
      <c r="H8" s="147"/>
      <c r="I8" s="147"/>
      <c r="J8" s="147"/>
      <c r="K8" s="147"/>
      <c r="L8" s="147" t="e">
        <f>+L9+L12+L19</f>
        <v>#REF!</v>
      </c>
      <c r="M8" s="319"/>
      <c r="N8" s="147" t="e">
        <f>+N9+N12+N19</f>
        <v>#REF!</v>
      </c>
    </row>
    <row r="9" spans="2:17" s="152" customFormat="1" ht="34.5" hidden="1" customHeight="1" x14ac:dyDescent="0.25">
      <c r="B9" s="148" t="s">
        <v>620</v>
      </c>
      <c r="C9" s="149" t="s">
        <v>621</v>
      </c>
      <c r="D9" s="150"/>
      <c r="E9" s="151">
        <f>SUM(D10:D11)</f>
        <v>0</v>
      </c>
      <c r="F9" s="151"/>
      <c r="G9" s="151"/>
      <c r="H9" s="151"/>
      <c r="I9" s="151"/>
      <c r="J9" s="151"/>
      <c r="K9" s="151"/>
      <c r="L9" s="151" t="e">
        <f>SUM(#REF!)</f>
        <v>#REF!</v>
      </c>
      <c r="M9" s="320"/>
      <c r="N9" s="151" t="e">
        <f>SUM(#REF!)</f>
        <v>#REF!</v>
      </c>
      <c r="O9" s="179"/>
      <c r="P9" s="180"/>
      <c r="Q9" s="178"/>
    </row>
    <row r="10" spans="2:17" s="152" customFormat="1" ht="27.6" hidden="1" x14ac:dyDescent="0.25">
      <c r="B10" s="153" t="s">
        <v>622</v>
      </c>
      <c r="C10" s="154" t="s">
        <v>623</v>
      </c>
      <c r="D10" s="150"/>
      <c r="E10" s="155"/>
      <c r="F10" s="155"/>
      <c r="G10" s="155"/>
      <c r="H10" s="155"/>
      <c r="I10" s="155"/>
      <c r="J10" s="155"/>
      <c r="K10" s="155"/>
      <c r="L10" s="155"/>
      <c r="M10" s="321"/>
      <c r="N10" s="155"/>
      <c r="O10" s="737"/>
      <c r="P10" s="737"/>
      <c r="Q10" s="177"/>
    </row>
    <row r="11" spans="2:17" s="152" customFormat="1" hidden="1" x14ac:dyDescent="0.25">
      <c r="B11" s="153" t="s">
        <v>624</v>
      </c>
      <c r="C11" s="156" t="s">
        <v>625</v>
      </c>
      <c r="D11" s="150">
        <f>+[3]Estimacion!J11</f>
        <v>0</v>
      </c>
      <c r="E11" s="155"/>
      <c r="F11" s="155"/>
      <c r="G11" s="155"/>
      <c r="H11" s="155"/>
      <c r="I11" s="155"/>
      <c r="J11" s="155"/>
      <c r="K11" s="155"/>
      <c r="L11" s="155"/>
      <c r="M11" s="321"/>
      <c r="N11" s="155"/>
    </row>
    <row r="12" spans="2:17" s="152" customFormat="1" hidden="1" x14ac:dyDescent="0.25">
      <c r="B12" s="148" t="s">
        <v>626</v>
      </c>
      <c r="C12" s="157" t="s">
        <v>627</v>
      </c>
      <c r="D12" s="150"/>
      <c r="E12" s="155">
        <f>SUM(D13:D18)</f>
        <v>0</v>
      </c>
      <c r="F12" s="155"/>
      <c r="G12" s="155"/>
      <c r="H12" s="155"/>
      <c r="I12" s="155"/>
      <c r="J12" s="155"/>
      <c r="K12" s="155"/>
      <c r="L12" s="155" t="e">
        <f>SUM(#REF!)</f>
        <v>#REF!</v>
      </c>
      <c r="M12" s="321"/>
      <c r="N12" s="155" t="e">
        <f>SUM(#REF!)</f>
        <v>#REF!</v>
      </c>
    </row>
    <row r="13" spans="2:17" s="152" customFormat="1" hidden="1" x14ac:dyDescent="0.25">
      <c r="B13" s="153" t="s">
        <v>628</v>
      </c>
      <c r="C13" s="156" t="s">
        <v>629</v>
      </c>
      <c r="D13" s="150">
        <f>+[3]Estimacion!J12</f>
        <v>0</v>
      </c>
      <c r="E13" s="155"/>
      <c r="F13" s="155"/>
      <c r="G13" s="155"/>
      <c r="H13" s="155"/>
      <c r="I13" s="155"/>
      <c r="J13" s="155"/>
      <c r="K13" s="155"/>
      <c r="L13" s="155"/>
      <c r="M13" s="321"/>
      <c r="N13" s="155"/>
    </row>
    <row r="14" spans="2:17" s="152" customFormat="1" hidden="1" x14ac:dyDescent="0.25">
      <c r="B14" s="153" t="s">
        <v>630</v>
      </c>
      <c r="C14" s="156" t="s">
        <v>631</v>
      </c>
      <c r="D14" s="150">
        <f>+[3]Estimacion!J13</f>
        <v>0</v>
      </c>
      <c r="E14" s="155"/>
      <c r="F14" s="155"/>
      <c r="G14" s="155"/>
      <c r="H14" s="155"/>
      <c r="I14" s="155"/>
      <c r="J14" s="155"/>
      <c r="K14" s="155"/>
      <c r="L14" s="155"/>
      <c r="M14" s="321"/>
      <c r="N14" s="155"/>
    </row>
    <row r="15" spans="2:17" s="152" customFormat="1" ht="27.6" hidden="1" x14ac:dyDescent="0.25">
      <c r="B15" s="153" t="s">
        <v>632</v>
      </c>
      <c r="C15" s="154" t="s">
        <v>633</v>
      </c>
      <c r="D15" s="150">
        <f>+[3]Estimacion!J14</f>
        <v>0</v>
      </c>
      <c r="E15" s="155"/>
      <c r="F15" s="155"/>
      <c r="G15" s="155"/>
      <c r="H15" s="155"/>
      <c r="I15" s="155"/>
      <c r="J15" s="155"/>
      <c r="K15" s="155"/>
      <c r="L15" s="155"/>
      <c r="M15" s="321"/>
      <c r="N15" s="155"/>
    </row>
    <row r="16" spans="2:17" s="152" customFormat="1" ht="27.6" hidden="1" x14ac:dyDescent="0.25">
      <c r="B16" s="153" t="s">
        <v>634</v>
      </c>
      <c r="C16" s="154" t="s">
        <v>635</v>
      </c>
      <c r="D16" s="150">
        <f>+[3]Estimacion!J15</f>
        <v>0</v>
      </c>
      <c r="E16" s="155"/>
      <c r="F16" s="155"/>
      <c r="G16" s="155"/>
      <c r="H16" s="155"/>
      <c r="I16" s="155"/>
      <c r="J16" s="155"/>
      <c r="K16" s="155"/>
      <c r="L16" s="155"/>
      <c r="M16" s="321"/>
      <c r="N16" s="155"/>
    </row>
    <row r="17" spans="2:15" s="152" customFormat="1" hidden="1" x14ac:dyDescent="0.25">
      <c r="B17" s="153" t="s">
        <v>636</v>
      </c>
      <c r="C17" s="156" t="s">
        <v>637</v>
      </c>
      <c r="D17" s="150">
        <f>+[3]Estimacion!J16</f>
        <v>0</v>
      </c>
      <c r="E17" s="155"/>
      <c r="F17" s="155"/>
      <c r="G17" s="155"/>
      <c r="H17" s="155"/>
      <c r="I17" s="155"/>
      <c r="J17" s="155"/>
      <c r="K17" s="155"/>
      <c r="L17" s="155"/>
      <c r="M17" s="321"/>
      <c r="N17" s="155"/>
    </row>
    <row r="18" spans="2:15" s="152" customFormat="1" hidden="1" x14ac:dyDescent="0.25">
      <c r="B18" s="153" t="s">
        <v>638</v>
      </c>
      <c r="C18" s="156" t="s">
        <v>639</v>
      </c>
      <c r="D18" s="150">
        <f>+[3]Estimacion!J17</f>
        <v>0</v>
      </c>
      <c r="E18" s="155"/>
      <c r="F18" s="155"/>
      <c r="G18" s="155"/>
      <c r="H18" s="155"/>
      <c r="I18" s="155"/>
      <c r="J18" s="155"/>
      <c r="K18" s="155"/>
      <c r="L18" s="155"/>
      <c r="M18" s="321"/>
      <c r="N18" s="155"/>
    </row>
    <row r="19" spans="2:15" s="152" customFormat="1" hidden="1" x14ac:dyDescent="0.25">
      <c r="B19" s="148" t="s">
        <v>640</v>
      </c>
      <c r="C19" s="157" t="s">
        <v>641</v>
      </c>
      <c r="D19" s="150"/>
      <c r="E19" s="155">
        <f>SUM(D20)</f>
        <v>0</v>
      </c>
      <c r="F19" s="155"/>
      <c r="G19" s="155"/>
      <c r="H19" s="155"/>
      <c r="I19" s="155"/>
      <c r="J19" s="155"/>
      <c r="K19" s="155"/>
      <c r="L19" s="155" t="e">
        <f>SUM(#REF!)</f>
        <v>#REF!</v>
      </c>
      <c r="M19" s="321"/>
      <c r="N19" s="155" t="e">
        <f>SUM(#REF!)</f>
        <v>#REF!</v>
      </c>
    </row>
    <row r="20" spans="2:15" s="152" customFormat="1" ht="41.4" hidden="1" x14ac:dyDescent="0.25">
      <c r="B20" s="153" t="s">
        <v>642</v>
      </c>
      <c r="C20" s="154" t="s">
        <v>643</v>
      </c>
      <c r="D20" s="150">
        <f>+[3]Estimacion!J18</f>
        <v>0</v>
      </c>
      <c r="E20" s="155"/>
      <c r="F20" s="155"/>
      <c r="G20" s="155"/>
      <c r="H20" s="155"/>
      <c r="I20" s="155"/>
      <c r="J20" s="155"/>
      <c r="K20" s="155"/>
      <c r="L20" s="155"/>
      <c r="M20" s="321"/>
      <c r="N20" s="155"/>
    </row>
    <row r="21" spans="2:15" s="136" customFormat="1" ht="18" customHeight="1" x14ac:dyDescent="0.3">
      <c r="B21" s="158" t="s">
        <v>644</v>
      </c>
      <c r="C21" s="158" t="s">
        <v>645</v>
      </c>
      <c r="D21" s="159"/>
      <c r="E21" s="147">
        <f>+E22+E35</f>
        <v>1283089.9026190476</v>
      </c>
      <c r="F21" s="147"/>
      <c r="G21" s="147"/>
      <c r="H21" s="147"/>
      <c r="I21" s="147"/>
      <c r="J21" s="147"/>
      <c r="K21" s="147"/>
      <c r="L21" s="147">
        <f>+L22+L35</f>
        <v>1283089.9026190476</v>
      </c>
      <c r="M21" s="338">
        <f>((L21*100%)/L107)</f>
        <v>0.56722348106156606</v>
      </c>
      <c r="N21" s="147">
        <f>+N22+N35</f>
        <v>1337776.1300000001</v>
      </c>
    </row>
    <row r="22" spans="2:15" s="162" customFormat="1" ht="18" customHeight="1" x14ac:dyDescent="0.3">
      <c r="B22" s="160" t="s">
        <v>646</v>
      </c>
      <c r="C22" s="161" t="s">
        <v>647</v>
      </c>
      <c r="D22" s="151"/>
      <c r="E22" s="151">
        <f>SUM(E23:E34)</f>
        <v>274946.43761904759</v>
      </c>
      <c r="F22" s="151"/>
      <c r="G22" s="151"/>
      <c r="H22" s="151"/>
      <c r="I22" s="151"/>
      <c r="J22" s="151"/>
      <c r="K22" s="151"/>
      <c r="L22" s="151">
        <f>SUM(L23:L34)</f>
        <v>274946.43761904759</v>
      </c>
      <c r="M22" s="320"/>
      <c r="N22" s="151">
        <f>SUM(N23:N34)</f>
        <v>287804.51</v>
      </c>
    </row>
    <row r="23" spans="2:15" s="166" customFormat="1" ht="18" hidden="1" customHeight="1" x14ac:dyDescent="0.3">
      <c r="B23" s="163" t="s">
        <v>648</v>
      </c>
      <c r="C23" s="164" t="s">
        <v>649</v>
      </c>
      <c r="D23" s="165">
        <f>+[3]Estimacion!J21</f>
        <v>0</v>
      </c>
      <c r="E23" s="151"/>
      <c r="F23" s="151"/>
      <c r="G23" s="151"/>
      <c r="H23" s="151"/>
      <c r="I23" s="151"/>
      <c r="J23" s="151"/>
      <c r="K23" s="151"/>
      <c r="L23" s="151"/>
      <c r="M23" s="320"/>
      <c r="N23" s="151"/>
    </row>
    <row r="24" spans="2:15" s="166" customFormat="1" ht="18" customHeight="1" x14ac:dyDescent="0.3">
      <c r="B24" s="163" t="s">
        <v>650</v>
      </c>
      <c r="C24" s="164" t="s">
        <v>651</v>
      </c>
      <c r="E24" s="165">
        <v>86082.771428571417</v>
      </c>
      <c r="F24" s="165"/>
      <c r="H24" s="165"/>
      <c r="I24" s="151"/>
      <c r="J24" s="151"/>
      <c r="K24" s="151"/>
      <c r="L24" s="165">
        <f>E24+F24+G24-H24-I24+J24-K24</f>
        <v>86082.771428571417</v>
      </c>
      <c r="M24" s="320"/>
      <c r="N24" s="165">
        <v>77386.570000000007</v>
      </c>
      <c r="O24" s="788"/>
    </row>
    <row r="25" spans="2:15" s="166" customFormat="1" ht="18" hidden="1" customHeight="1" x14ac:dyDescent="0.3">
      <c r="B25" s="163" t="s">
        <v>652</v>
      </c>
      <c r="C25" s="164" t="s">
        <v>653</v>
      </c>
      <c r="E25" s="165">
        <v>0</v>
      </c>
      <c r="F25" s="165"/>
      <c r="G25" s="165"/>
      <c r="H25" s="151"/>
      <c r="I25" s="151"/>
      <c r="J25" s="151"/>
      <c r="K25" s="151"/>
      <c r="L25" s="165">
        <f t="shared" ref="L25:L34" si="0">E25+F25+G25-H25-I25+J25-K25</f>
        <v>0</v>
      </c>
      <c r="M25" s="320"/>
      <c r="N25" s="165"/>
      <c r="O25" s="788"/>
    </row>
    <row r="26" spans="2:15" s="166" customFormat="1" ht="27" hidden="1" customHeight="1" x14ac:dyDescent="0.3">
      <c r="B26" s="163" t="s">
        <v>654</v>
      </c>
      <c r="C26" s="167" t="s">
        <v>655</v>
      </c>
      <c r="E26" s="165">
        <v>0</v>
      </c>
      <c r="F26" s="165"/>
      <c r="G26" s="165"/>
      <c r="H26" s="151"/>
      <c r="I26" s="151"/>
      <c r="J26" s="151"/>
      <c r="K26" s="151"/>
      <c r="L26" s="165">
        <f t="shared" si="0"/>
        <v>0</v>
      </c>
      <c r="M26" s="320"/>
      <c r="N26" s="165"/>
      <c r="O26" s="788"/>
    </row>
    <row r="27" spans="2:15" s="166" customFormat="1" ht="18" customHeight="1" x14ac:dyDescent="0.3">
      <c r="B27" s="163" t="s">
        <v>656</v>
      </c>
      <c r="C27" s="164" t="s">
        <v>657</v>
      </c>
      <c r="E27" s="165">
        <v>108.70285714285714</v>
      </c>
      <c r="F27" s="165"/>
      <c r="G27" s="165"/>
      <c r="H27" s="151"/>
      <c r="I27" s="151"/>
      <c r="J27" s="151"/>
      <c r="K27" s="151"/>
      <c r="L27" s="165">
        <f t="shared" si="0"/>
        <v>108.70285714285714</v>
      </c>
      <c r="M27" s="320"/>
      <c r="N27" s="165">
        <v>100.87</v>
      </c>
      <c r="O27" s="788"/>
    </row>
    <row r="28" spans="2:15" s="166" customFormat="1" ht="18" hidden="1" customHeight="1" x14ac:dyDescent="0.3">
      <c r="B28" s="163" t="s">
        <v>658</v>
      </c>
      <c r="C28" s="164" t="s">
        <v>659</v>
      </c>
      <c r="E28" s="165">
        <v>0</v>
      </c>
      <c r="F28" s="165"/>
      <c r="G28" s="165"/>
      <c r="H28" s="151"/>
      <c r="I28" s="151"/>
      <c r="J28" s="151"/>
      <c r="K28" s="151"/>
      <c r="L28" s="165">
        <f t="shared" si="0"/>
        <v>0</v>
      </c>
      <c r="M28" s="320"/>
      <c r="N28" s="165"/>
      <c r="O28" s="788"/>
    </row>
    <row r="29" spans="2:15" s="166" customFormat="1" ht="18" hidden="1" customHeight="1" x14ac:dyDescent="0.3">
      <c r="B29" s="163" t="s">
        <v>660</v>
      </c>
      <c r="C29" s="164" t="s">
        <v>661</v>
      </c>
      <c r="E29" s="165">
        <v>0</v>
      </c>
      <c r="F29" s="165"/>
      <c r="G29" s="165"/>
      <c r="H29" s="151"/>
      <c r="I29" s="151"/>
      <c r="J29" s="151"/>
      <c r="K29" s="151"/>
      <c r="L29" s="165">
        <f t="shared" si="0"/>
        <v>0</v>
      </c>
      <c r="M29" s="320"/>
      <c r="N29" s="165"/>
      <c r="O29" s="788"/>
    </row>
    <row r="30" spans="2:15" s="166" customFormat="1" ht="30.6" hidden="1" customHeight="1" x14ac:dyDescent="0.3">
      <c r="B30" s="163" t="s">
        <v>662</v>
      </c>
      <c r="C30" s="167" t="s">
        <v>663</v>
      </c>
      <c r="E30" s="165">
        <v>0</v>
      </c>
      <c r="F30" s="165"/>
      <c r="G30" s="165"/>
      <c r="H30" s="151"/>
      <c r="I30" s="151"/>
      <c r="J30" s="151"/>
      <c r="K30" s="151"/>
      <c r="L30" s="165">
        <f t="shared" si="0"/>
        <v>0</v>
      </c>
      <c r="M30" s="320"/>
      <c r="N30" s="165"/>
      <c r="O30" s="788"/>
    </row>
    <row r="31" spans="2:15" s="166" customFormat="1" ht="31.95" hidden="1" customHeight="1" x14ac:dyDescent="0.3">
      <c r="B31" s="163" t="s">
        <v>664</v>
      </c>
      <c r="C31" s="167" t="s">
        <v>665</v>
      </c>
      <c r="E31" s="165">
        <v>0</v>
      </c>
      <c r="F31" s="151"/>
      <c r="G31" s="151"/>
      <c r="H31" s="151"/>
      <c r="I31" s="151"/>
      <c r="J31" s="151"/>
      <c r="K31" s="151"/>
      <c r="L31" s="165">
        <f t="shared" si="0"/>
        <v>0</v>
      </c>
      <c r="M31" s="320"/>
      <c r="N31" s="165"/>
      <c r="O31" s="788"/>
    </row>
    <row r="32" spans="2:15" s="166" customFormat="1" ht="36.6" hidden="1" customHeight="1" x14ac:dyDescent="0.3">
      <c r="B32" s="163" t="s">
        <v>666</v>
      </c>
      <c r="C32" s="167" t="s">
        <v>667</v>
      </c>
      <c r="E32" s="165">
        <v>0</v>
      </c>
      <c r="F32" s="151"/>
      <c r="G32" s="151"/>
      <c r="H32" s="151"/>
      <c r="I32" s="151"/>
      <c r="J32" s="151"/>
      <c r="K32" s="151"/>
      <c r="L32" s="165">
        <f t="shared" si="0"/>
        <v>0</v>
      </c>
      <c r="M32" s="320"/>
      <c r="N32" s="165"/>
      <c r="O32" s="788"/>
    </row>
    <row r="33" spans="2:15" s="166" customFormat="1" ht="28.5" customHeight="1" x14ac:dyDescent="0.3">
      <c r="B33" s="163" t="s">
        <v>668</v>
      </c>
      <c r="C33" s="167" t="str">
        <f>+[3]Estimacion!B30</f>
        <v>CONTRIBUCIÓN PREDIAL A FAVOR DE LOS CUERPOS DE BOMBEROS</v>
      </c>
      <c r="E33" s="165">
        <v>185997.96333333332</v>
      </c>
      <c r="F33" s="151"/>
      <c r="H33" s="165"/>
      <c r="I33" s="151"/>
      <c r="J33" s="151"/>
      <c r="K33" s="151"/>
      <c r="L33" s="165">
        <f t="shared" si="0"/>
        <v>185997.96333333332</v>
      </c>
      <c r="M33" s="320"/>
      <c r="N33" s="165">
        <v>207560.07</v>
      </c>
      <c r="O33" s="788"/>
    </row>
    <row r="34" spans="2:15" s="166" customFormat="1" ht="18" customHeight="1" x14ac:dyDescent="0.3">
      <c r="B34" s="163" t="str">
        <f>+[3]Estimacion!A31</f>
        <v>1.3.01.99.001</v>
      </c>
      <c r="C34" s="164" t="str">
        <f>+[3]Estimacion!B31</f>
        <v>ESP. FISCALES (SOLICITUD DE INSPECCIÓN)</v>
      </c>
      <c r="E34" s="165">
        <v>2757</v>
      </c>
      <c r="F34" s="151"/>
      <c r="H34" s="165"/>
      <c r="I34" s="151"/>
      <c r="J34" s="151"/>
      <c r="K34" s="151"/>
      <c r="L34" s="165">
        <f t="shared" si="0"/>
        <v>2757</v>
      </c>
      <c r="M34" s="320"/>
      <c r="N34" s="165">
        <v>2757</v>
      </c>
      <c r="O34" s="788"/>
    </row>
    <row r="35" spans="2:15" s="162" customFormat="1" ht="18" customHeight="1" x14ac:dyDescent="0.3">
      <c r="B35" s="160" t="s">
        <v>669</v>
      </c>
      <c r="C35" s="161" t="s">
        <v>670</v>
      </c>
      <c r="D35" s="151"/>
      <c r="E35" s="151">
        <f>SUM(E36:E41)</f>
        <v>1008143.4650000001</v>
      </c>
      <c r="F35" s="151"/>
      <c r="G35" s="151"/>
      <c r="H35" s="151"/>
      <c r="I35" s="151"/>
      <c r="J35" s="151"/>
      <c r="K35" s="151"/>
      <c r="L35" s="151">
        <f>SUM(L36:L41)</f>
        <v>1008143.4650000001</v>
      </c>
      <c r="M35" s="320"/>
      <c r="N35" s="151">
        <f>SUM(N36:N41)</f>
        <v>1049971.6200000001</v>
      </c>
      <c r="O35" s="802"/>
    </row>
    <row r="36" spans="2:15" s="166" customFormat="1" ht="35.4" hidden="1" customHeight="1" x14ac:dyDescent="0.3">
      <c r="B36" s="163" t="s">
        <v>671</v>
      </c>
      <c r="C36" s="167" t="s">
        <v>672</v>
      </c>
      <c r="D36" s="165"/>
      <c r="E36" s="151"/>
      <c r="F36" s="151"/>
      <c r="G36" s="151"/>
      <c r="H36" s="151"/>
      <c r="I36" s="151"/>
      <c r="J36" s="151"/>
      <c r="K36" s="151"/>
      <c r="L36" s="151">
        <f>E36+F36-G36+H36-I36+J36-K36</f>
        <v>0</v>
      </c>
      <c r="M36" s="320"/>
      <c r="N36" s="151">
        <f>G36+H36-I36+J36-K36+L36-M36</f>
        <v>0</v>
      </c>
      <c r="O36" s="788"/>
    </row>
    <row r="37" spans="2:15" s="166" customFormat="1" ht="18" hidden="1" customHeight="1" x14ac:dyDescent="0.3">
      <c r="B37" s="163" t="s">
        <v>673</v>
      </c>
      <c r="C37" s="164" t="s">
        <v>674</v>
      </c>
      <c r="D37" s="165"/>
      <c r="E37" s="151"/>
      <c r="F37" s="151"/>
      <c r="G37" s="151"/>
      <c r="H37" s="151"/>
      <c r="I37" s="151"/>
      <c r="J37" s="151"/>
      <c r="K37" s="151"/>
      <c r="L37" s="151">
        <f>E37+F37-G37+H37-I37+J37-K37</f>
        <v>0</v>
      </c>
      <c r="M37" s="320"/>
      <c r="N37" s="151">
        <f>G37+H37-I37+J37-K37+L37-M37</f>
        <v>0</v>
      </c>
      <c r="O37" s="788"/>
    </row>
    <row r="38" spans="2:15" s="166" customFormat="1" ht="18" hidden="1" customHeight="1" x14ac:dyDescent="0.3">
      <c r="B38" s="163" t="s">
        <v>675</v>
      </c>
      <c r="C38" s="164" t="s">
        <v>676</v>
      </c>
      <c r="D38" s="165"/>
      <c r="E38" s="151"/>
      <c r="F38" s="151"/>
      <c r="G38" s="151"/>
      <c r="H38" s="151"/>
      <c r="I38" s="151"/>
      <c r="J38" s="151"/>
      <c r="K38" s="151"/>
      <c r="L38" s="151">
        <f>E38+F38-G38+H38-I38+J38-K38</f>
        <v>0</v>
      </c>
      <c r="M38" s="320"/>
      <c r="N38" s="151">
        <f>G38+H38-I38+J38-K38+L38-M38</f>
        <v>0</v>
      </c>
      <c r="O38" s="788"/>
    </row>
    <row r="39" spans="2:15" s="166" customFormat="1" ht="18" hidden="1" customHeight="1" x14ac:dyDescent="0.3">
      <c r="B39" s="163" t="s">
        <v>677</v>
      </c>
      <c r="C39" s="167" t="s">
        <v>678</v>
      </c>
      <c r="D39" s="165"/>
      <c r="E39" s="151"/>
      <c r="F39" s="151"/>
      <c r="G39" s="151"/>
      <c r="H39" s="151"/>
      <c r="I39" s="151"/>
      <c r="J39" s="151"/>
      <c r="K39" s="151"/>
      <c r="L39" s="151">
        <f>E39+F39-G39+H39-I39+J39-K39</f>
        <v>0</v>
      </c>
      <c r="M39" s="320"/>
      <c r="N39" s="151">
        <f>G39+H39-I39+J39-K39+L39-M39</f>
        <v>0</v>
      </c>
      <c r="O39" s="788"/>
    </row>
    <row r="40" spans="2:15" s="166" customFormat="1" ht="30.75" customHeight="1" x14ac:dyDescent="0.3">
      <c r="B40" s="163" t="s">
        <v>679</v>
      </c>
      <c r="C40" s="167" t="s">
        <v>680</v>
      </c>
      <c r="D40" s="165"/>
      <c r="E40" s="165">
        <v>1008143.4650000001</v>
      </c>
      <c r="F40" s="165"/>
      <c r="G40" s="151"/>
      <c r="H40" s="151"/>
      <c r="I40" s="151"/>
      <c r="J40" s="151"/>
      <c r="K40" s="151"/>
      <c r="L40" s="165">
        <f>E40+F40+G40-H40-I40+J40-K40</f>
        <v>1008143.4650000001</v>
      </c>
      <c r="M40" s="320"/>
      <c r="N40" s="165">
        <v>1049971.6200000001</v>
      </c>
      <c r="O40" s="788"/>
    </row>
    <row r="41" spans="2:15" s="166" customFormat="1" ht="18" hidden="1" customHeight="1" x14ac:dyDescent="0.3">
      <c r="B41" s="163" t="s">
        <v>681</v>
      </c>
      <c r="C41" s="164" t="s">
        <v>682</v>
      </c>
      <c r="D41" s="165"/>
      <c r="E41" s="151"/>
      <c r="F41" s="151"/>
      <c r="G41" s="151"/>
      <c r="H41" s="151"/>
      <c r="I41" s="151"/>
      <c r="J41" s="151"/>
      <c r="K41" s="151"/>
      <c r="L41" s="151">
        <f>E41+F41-G41+H41-I41+J41-K41</f>
        <v>0</v>
      </c>
      <c r="M41" s="320"/>
      <c r="N41" s="151">
        <f>G41+H41-I41+J41-K41+L41-M41</f>
        <v>0</v>
      </c>
      <c r="O41" s="788"/>
    </row>
    <row r="42" spans="2:15" s="136" customFormat="1" ht="18" customHeight="1" x14ac:dyDescent="0.3">
      <c r="B42" s="158" t="s">
        <v>683</v>
      </c>
      <c r="C42" s="158" t="s">
        <v>684</v>
      </c>
      <c r="D42" s="159"/>
      <c r="E42" s="147">
        <f>+E43+E46</f>
        <v>10148.571428571429</v>
      </c>
      <c r="F42" s="147"/>
      <c r="G42" s="147"/>
      <c r="H42" s="147"/>
      <c r="I42" s="147"/>
      <c r="J42" s="147"/>
      <c r="K42" s="147"/>
      <c r="L42" s="147">
        <f>+L46</f>
        <v>10148.571428571429</v>
      </c>
      <c r="M42" s="338">
        <f>((L42*100%)/L107)</f>
        <v>4.4864416762738397E-3</v>
      </c>
      <c r="N42" s="147">
        <f>+N46</f>
        <v>11965</v>
      </c>
      <c r="O42" s="803"/>
    </row>
    <row r="43" spans="2:15" s="162" customFormat="1" ht="18" hidden="1" customHeight="1" x14ac:dyDescent="0.3">
      <c r="B43" s="160" t="s">
        <v>685</v>
      </c>
      <c r="C43" s="161" t="s">
        <v>686</v>
      </c>
      <c r="D43" s="151"/>
      <c r="E43" s="151">
        <f>SUM(D44:D45)</f>
        <v>0</v>
      </c>
      <c r="F43" s="151"/>
      <c r="G43" s="151"/>
      <c r="H43" s="151"/>
      <c r="I43" s="151"/>
      <c r="J43" s="151"/>
      <c r="K43" s="151"/>
      <c r="L43" s="151" t="e">
        <f>SUM(#REF!)</f>
        <v>#REF!</v>
      </c>
      <c r="M43" s="320"/>
      <c r="N43" s="151" t="e">
        <f>SUM(#REF!)</f>
        <v>#REF!</v>
      </c>
      <c r="O43" s="802"/>
    </row>
    <row r="44" spans="2:15" s="166" customFormat="1" ht="37.950000000000003" hidden="1" customHeight="1" x14ac:dyDescent="0.3">
      <c r="B44" s="163" t="s">
        <v>687</v>
      </c>
      <c r="C44" s="167" t="s">
        <v>688</v>
      </c>
      <c r="D44" s="165"/>
      <c r="E44" s="151"/>
      <c r="F44" s="151"/>
      <c r="G44" s="151"/>
      <c r="H44" s="151"/>
      <c r="I44" s="151"/>
      <c r="J44" s="151"/>
      <c r="K44" s="151"/>
      <c r="L44" s="151"/>
      <c r="M44" s="320"/>
      <c r="N44" s="151"/>
      <c r="O44" s="788"/>
    </row>
    <row r="45" spans="2:15" s="166" customFormat="1" ht="18" hidden="1" customHeight="1" x14ac:dyDescent="0.3">
      <c r="B45" s="163" t="s">
        <v>689</v>
      </c>
      <c r="C45" s="164" t="s">
        <v>690</v>
      </c>
      <c r="D45" s="165"/>
      <c r="E45" s="151"/>
      <c r="F45" s="151"/>
      <c r="G45" s="151"/>
      <c r="H45" s="151"/>
      <c r="I45" s="151"/>
      <c r="J45" s="151"/>
      <c r="K45" s="151"/>
      <c r="L45" s="151"/>
      <c r="M45" s="320"/>
      <c r="N45" s="151"/>
      <c r="O45" s="788"/>
    </row>
    <row r="46" spans="2:15" s="162" customFormat="1" ht="18" customHeight="1" x14ac:dyDescent="0.3">
      <c r="B46" s="160" t="s">
        <v>691</v>
      </c>
      <c r="C46" s="161" t="s">
        <v>692</v>
      </c>
      <c r="D46" s="151"/>
      <c r="E46" s="151">
        <f>SUM(E47:E54)</f>
        <v>10148.571428571429</v>
      </c>
      <c r="F46" s="151"/>
      <c r="G46" s="151"/>
      <c r="H46" s="151"/>
      <c r="I46" s="151"/>
      <c r="J46" s="151"/>
      <c r="K46" s="151"/>
      <c r="L46" s="151">
        <f>SUM(L47:L54)</f>
        <v>10148.571428571429</v>
      </c>
      <c r="M46" s="320"/>
      <c r="N46" s="151">
        <f>SUM(N47:N54)</f>
        <v>11965</v>
      </c>
      <c r="O46" s="802"/>
    </row>
    <row r="47" spans="2:15" s="166" customFormat="1" ht="18" hidden="1" customHeight="1" x14ac:dyDescent="0.3">
      <c r="B47" s="163" t="s">
        <v>693</v>
      </c>
      <c r="C47" s="164" t="s">
        <v>130</v>
      </c>
      <c r="D47" s="165"/>
      <c r="E47" s="151"/>
      <c r="F47" s="151"/>
      <c r="G47" s="151"/>
      <c r="H47" s="151"/>
      <c r="I47" s="151"/>
      <c r="J47" s="151"/>
      <c r="K47" s="151"/>
      <c r="L47" s="151"/>
      <c r="M47" s="320"/>
      <c r="N47" s="151"/>
      <c r="O47" s="788"/>
    </row>
    <row r="48" spans="2:15" s="166" customFormat="1" ht="18" hidden="1" customHeight="1" x14ac:dyDescent="0.3">
      <c r="B48" s="163" t="s">
        <v>694</v>
      </c>
      <c r="C48" s="164" t="s">
        <v>695</v>
      </c>
      <c r="D48" s="165"/>
      <c r="E48" s="151"/>
      <c r="F48" s="151"/>
      <c r="G48" s="151"/>
      <c r="H48" s="151"/>
      <c r="I48" s="151"/>
      <c r="J48" s="151"/>
      <c r="K48" s="151"/>
      <c r="L48" s="151"/>
      <c r="M48" s="320"/>
      <c r="N48" s="151"/>
      <c r="O48" s="788"/>
    </row>
    <row r="49" spans="2:15" s="166" customFormat="1" ht="18" customHeight="1" x14ac:dyDescent="0.3">
      <c r="B49" s="163" t="s">
        <v>696</v>
      </c>
      <c r="C49" s="164" t="s">
        <v>697</v>
      </c>
      <c r="D49" s="165">
        <f>+[3]Estimacion!J44</f>
        <v>5900</v>
      </c>
      <c r="E49" s="165">
        <v>10148.571428571429</v>
      </c>
      <c r="F49" s="165"/>
      <c r="G49" s="151"/>
      <c r="H49" s="151"/>
      <c r="I49" s="151"/>
      <c r="J49" s="151"/>
      <c r="K49" s="151"/>
      <c r="L49" s="165">
        <f>E49+F49+G49-H49-I49+J49-K49</f>
        <v>10148.571428571429</v>
      </c>
      <c r="M49" s="320"/>
      <c r="N49" s="165">
        <v>11965</v>
      </c>
      <c r="O49" s="788"/>
    </row>
    <row r="50" spans="2:15" s="166" customFormat="1" ht="18" hidden="1" customHeight="1" x14ac:dyDescent="0.3">
      <c r="B50" s="163" t="s">
        <v>698</v>
      </c>
      <c r="C50" s="164" t="s">
        <v>699</v>
      </c>
      <c r="D50" s="165"/>
      <c r="E50" s="151"/>
      <c r="F50" s="151"/>
      <c r="G50" s="151"/>
      <c r="H50" s="151"/>
      <c r="I50" s="151"/>
      <c r="J50" s="151"/>
      <c r="K50" s="151"/>
      <c r="L50" s="151"/>
      <c r="M50" s="320"/>
      <c r="N50" s="151"/>
      <c r="O50" s="788"/>
    </row>
    <row r="51" spans="2:15" s="166" customFormat="1" ht="18" hidden="1" customHeight="1" x14ac:dyDescent="0.3">
      <c r="B51" s="163" t="s">
        <v>700</v>
      </c>
      <c r="C51" s="164" t="s">
        <v>701</v>
      </c>
      <c r="D51" s="165"/>
      <c r="E51" s="151"/>
      <c r="F51" s="151"/>
      <c r="G51" s="151"/>
      <c r="H51" s="151"/>
      <c r="I51" s="151"/>
      <c r="J51" s="151"/>
      <c r="K51" s="151"/>
      <c r="L51" s="151"/>
      <c r="M51" s="320"/>
      <c r="N51" s="151"/>
      <c r="O51" s="788"/>
    </row>
    <row r="52" spans="2:15" s="166" customFormat="1" ht="18" hidden="1" customHeight="1" x14ac:dyDescent="0.3">
      <c r="B52" s="163" t="s">
        <v>702</v>
      </c>
      <c r="C52" s="164" t="s">
        <v>703</v>
      </c>
      <c r="D52" s="165"/>
      <c r="E52" s="151"/>
      <c r="F52" s="151"/>
      <c r="G52" s="151"/>
      <c r="H52" s="151"/>
      <c r="I52" s="151"/>
      <c r="J52" s="151"/>
      <c r="K52" s="151"/>
      <c r="L52" s="151"/>
      <c r="M52" s="320"/>
      <c r="N52" s="151"/>
      <c r="O52" s="788"/>
    </row>
    <row r="53" spans="2:15" s="166" customFormat="1" ht="18" hidden="1" customHeight="1" x14ac:dyDescent="0.3">
      <c r="B53" s="163" t="s">
        <v>704</v>
      </c>
      <c r="C53" s="167" t="s">
        <v>705</v>
      </c>
      <c r="D53" s="165"/>
      <c r="E53" s="151"/>
      <c r="F53" s="151"/>
      <c r="G53" s="151"/>
      <c r="H53" s="151"/>
      <c r="I53" s="151"/>
      <c r="J53" s="151"/>
      <c r="K53" s="151"/>
      <c r="L53" s="151"/>
      <c r="M53" s="320"/>
      <c r="N53" s="151"/>
      <c r="O53" s="788"/>
    </row>
    <row r="54" spans="2:15" s="166" customFormat="1" ht="18" hidden="1" customHeight="1" x14ac:dyDescent="0.3">
      <c r="B54" s="163" t="s">
        <v>706</v>
      </c>
      <c r="C54" s="164" t="s">
        <v>707</v>
      </c>
      <c r="D54" s="165"/>
      <c r="E54" s="151"/>
      <c r="F54" s="151"/>
      <c r="G54" s="151"/>
      <c r="H54" s="151"/>
      <c r="I54" s="151"/>
      <c r="J54" s="151"/>
      <c r="K54" s="151"/>
      <c r="L54" s="151"/>
      <c r="M54" s="320"/>
      <c r="N54" s="151"/>
      <c r="O54" s="788"/>
    </row>
    <row r="55" spans="2:15" s="136" customFormat="1" ht="18" customHeight="1" x14ac:dyDescent="0.3">
      <c r="B55" s="158" t="s">
        <v>708</v>
      </c>
      <c r="C55" s="158" t="s">
        <v>709</v>
      </c>
      <c r="D55" s="159"/>
      <c r="E55" s="147">
        <f>E62</f>
        <v>1675</v>
      </c>
      <c r="F55" s="147"/>
      <c r="G55" s="147"/>
      <c r="H55" s="147"/>
      <c r="I55" s="147"/>
      <c r="J55" s="147"/>
      <c r="K55" s="147"/>
      <c r="L55" s="147">
        <f>L62</f>
        <v>1675</v>
      </c>
      <c r="M55" s="338">
        <f>((L55*100%)/L107)</f>
        <v>7.4047759930054562E-4</v>
      </c>
      <c r="N55" s="147">
        <f>N62</f>
        <v>0.17</v>
      </c>
      <c r="O55" s="803"/>
    </row>
    <row r="56" spans="2:15" s="162" customFormat="1" ht="18" hidden="1" customHeight="1" x14ac:dyDescent="0.3">
      <c r="B56" s="160" t="s">
        <v>710</v>
      </c>
      <c r="C56" s="161" t="s">
        <v>711</v>
      </c>
      <c r="D56" s="151"/>
      <c r="E56" s="151">
        <f>SUM(D57:D58)</f>
        <v>0</v>
      </c>
      <c r="F56" s="151"/>
      <c r="G56" s="151"/>
      <c r="H56" s="151"/>
      <c r="I56" s="151"/>
      <c r="J56" s="151"/>
      <c r="K56" s="151"/>
      <c r="L56" s="151" t="e">
        <f>SUM(#REF!)</f>
        <v>#REF!</v>
      </c>
      <c r="M56" s="320"/>
      <c r="N56" s="151" t="e">
        <f>SUM(#REF!)</f>
        <v>#REF!</v>
      </c>
      <c r="O56" s="802"/>
    </row>
    <row r="57" spans="2:15" s="166" customFormat="1" ht="18" hidden="1" customHeight="1" x14ac:dyDescent="0.3">
      <c r="B57" s="163" t="s">
        <v>712</v>
      </c>
      <c r="C57" s="164" t="s">
        <v>713</v>
      </c>
      <c r="D57" s="165"/>
      <c r="E57" s="151"/>
      <c r="F57" s="151"/>
      <c r="G57" s="151"/>
      <c r="H57" s="151"/>
      <c r="I57" s="151"/>
      <c r="J57" s="151"/>
      <c r="K57" s="151"/>
      <c r="L57" s="151"/>
      <c r="M57" s="320"/>
      <c r="N57" s="151"/>
      <c r="O57" s="788"/>
    </row>
    <row r="58" spans="2:15" s="166" customFormat="1" ht="18" hidden="1" customHeight="1" x14ac:dyDescent="0.3">
      <c r="B58" s="163" t="s">
        <v>714</v>
      </c>
      <c r="C58" s="164" t="s">
        <v>715</v>
      </c>
      <c r="D58" s="165"/>
      <c r="E58" s="151"/>
      <c r="F58" s="151"/>
      <c r="G58" s="151"/>
      <c r="H58" s="151"/>
      <c r="I58" s="151"/>
      <c r="J58" s="151"/>
      <c r="K58" s="151"/>
      <c r="L58" s="151"/>
      <c r="M58" s="320"/>
      <c r="N58" s="151"/>
      <c r="O58" s="788"/>
    </row>
    <row r="59" spans="2:15" s="162" customFormat="1" ht="18" hidden="1" customHeight="1" x14ac:dyDescent="0.3">
      <c r="B59" s="160" t="s">
        <v>716</v>
      </c>
      <c r="C59" s="161" t="s">
        <v>717</v>
      </c>
      <c r="D59" s="151"/>
      <c r="E59" s="151">
        <f>SUM(D60:D61)</f>
        <v>0</v>
      </c>
      <c r="F59" s="151"/>
      <c r="G59" s="151"/>
      <c r="H59" s="151"/>
      <c r="I59" s="151"/>
      <c r="J59" s="151"/>
      <c r="K59" s="151"/>
      <c r="L59" s="151" t="e">
        <f>SUM(#REF!)</f>
        <v>#REF!</v>
      </c>
      <c r="M59" s="320"/>
      <c r="N59" s="151" t="e">
        <f>SUM(#REF!)</f>
        <v>#REF!</v>
      </c>
      <c r="O59" s="802"/>
    </row>
    <row r="60" spans="2:15" s="166" customFormat="1" ht="18" hidden="1" customHeight="1" x14ac:dyDescent="0.3">
      <c r="B60" s="163" t="s">
        <v>718</v>
      </c>
      <c r="C60" s="164" t="s">
        <v>719</v>
      </c>
      <c r="D60" s="165"/>
      <c r="E60" s="151"/>
      <c r="F60" s="151"/>
      <c r="G60" s="151"/>
      <c r="H60" s="151"/>
      <c r="I60" s="151"/>
      <c r="J60" s="151"/>
      <c r="K60" s="151"/>
      <c r="L60" s="151"/>
      <c r="M60" s="320"/>
      <c r="N60" s="151"/>
      <c r="O60" s="788"/>
    </row>
    <row r="61" spans="2:15" s="166" customFormat="1" ht="18" hidden="1" customHeight="1" x14ac:dyDescent="0.3">
      <c r="B61" s="163" t="s">
        <v>718</v>
      </c>
      <c r="C61" s="164" t="s">
        <v>720</v>
      </c>
      <c r="D61" s="165"/>
      <c r="E61" s="151"/>
      <c r="F61" s="151"/>
      <c r="G61" s="151"/>
      <c r="H61" s="151"/>
      <c r="I61" s="151"/>
      <c r="J61" s="151"/>
      <c r="K61" s="151"/>
      <c r="L61" s="151"/>
      <c r="M61" s="320"/>
      <c r="N61" s="151"/>
      <c r="O61" s="788"/>
    </row>
    <row r="62" spans="2:15" s="162" customFormat="1" ht="18" customHeight="1" x14ac:dyDescent="0.3">
      <c r="B62" s="160" t="s">
        <v>721</v>
      </c>
      <c r="C62" s="161" t="s">
        <v>722</v>
      </c>
      <c r="D62" s="151"/>
      <c r="E62" s="151">
        <f>SUM(E63:E65)</f>
        <v>1675</v>
      </c>
      <c r="F62" s="151"/>
      <c r="G62" s="151"/>
      <c r="H62" s="151"/>
      <c r="I62" s="151"/>
      <c r="J62" s="151"/>
      <c r="K62" s="151"/>
      <c r="L62" s="151">
        <f>SUM(L63:L65)</f>
        <v>1675</v>
      </c>
      <c r="M62" s="320"/>
      <c r="N62" s="151">
        <f>SUM(N63:N65)</f>
        <v>0.17</v>
      </c>
      <c r="O62" s="802"/>
    </row>
    <row r="63" spans="2:15" s="162" customFormat="1" ht="18" customHeight="1" x14ac:dyDescent="0.3">
      <c r="B63" s="163" t="s">
        <v>844</v>
      </c>
      <c r="C63" s="164" t="s">
        <v>880</v>
      </c>
      <c r="D63" s="151"/>
      <c r="E63" s="165">
        <v>800</v>
      </c>
      <c r="F63" s="165"/>
      <c r="G63" s="151"/>
      <c r="H63" s="151"/>
      <c r="I63" s="151"/>
      <c r="J63" s="151"/>
      <c r="K63" s="151"/>
      <c r="L63" s="165">
        <f t="shared" ref="L63:L65" si="1">E63+F63+G63-H63-I63+J63-K63</f>
        <v>800</v>
      </c>
      <c r="M63" s="320"/>
      <c r="N63" s="165">
        <v>0</v>
      </c>
      <c r="O63" s="802"/>
    </row>
    <row r="64" spans="2:15" s="166" customFormat="1" ht="18" customHeight="1" x14ac:dyDescent="0.3">
      <c r="B64" s="163" t="s">
        <v>725</v>
      </c>
      <c r="C64" s="164" t="s">
        <v>726</v>
      </c>
      <c r="D64" s="165"/>
      <c r="E64" s="165">
        <v>200</v>
      </c>
      <c r="F64" s="165"/>
      <c r="G64" s="151"/>
      <c r="H64" s="151"/>
      <c r="I64" s="151"/>
      <c r="J64" s="151"/>
      <c r="K64" s="151"/>
      <c r="L64" s="165">
        <f t="shared" si="1"/>
        <v>200</v>
      </c>
      <c r="M64" s="320"/>
      <c r="N64" s="165">
        <v>0</v>
      </c>
      <c r="O64" s="788"/>
    </row>
    <row r="65" spans="2:15" s="166" customFormat="1" ht="18" customHeight="1" x14ac:dyDescent="0.3">
      <c r="B65" s="163" t="s">
        <v>723</v>
      </c>
      <c r="C65" s="164" t="s">
        <v>724</v>
      </c>
      <c r="E65" s="165">
        <v>675</v>
      </c>
      <c r="F65" s="151"/>
      <c r="G65" s="151"/>
      <c r="H65" s="165"/>
      <c r="I65" s="151"/>
      <c r="J65" s="151"/>
      <c r="K65" s="151"/>
      <c r="L65" s="165">
        <f t="shared" si="1"/>
        <v>675</v>
      </c>
      <c r="M65" s="320"/>
      <c r="N65" s="165">
        <v>0.17</v>
      </c>
      <c r="O65" s="788"/>
    </row>
    <row r="66" spans="2:15" s="136" customFormat="1" ht="18" hidden="1" customHeight="1" x14ac:dyDescent="0.3">
      <c r="B66" s="158" t="s">
        <v>727</v>
      </c>
      <c r="C66" s="158" t="s">
        <v>728</v>
      </c>
      <c r="D66" s="159"/>
      <c r="E66" s="147">
        <f>+E67</f>
        <v>0</v>
      </c>
      <c r="F66" s="147"/>
      <c r="G66" s="147"/>
      <c r="H66" s="147"/>
      <c r="I66" s="147"/>
      <c r="J66" s="147"/>
      <c r="K66" s="147"/>
      <c r="L66" s="147"/>
      <c r="M66" s="319"/>
      <c r="N66" s="147"/>
      <c r="O66" s="803"/>
    </row>
    <row r="67" spans="2:15" s="166" customFormat="1" ht="18" hidden="1" customHeight="1" x14ac:dyDescent="0.3">
      <c r="B67" s="163" t="s">
        <v>729</v>
      </c>
      <c r="C67" s="167" t="s">
        <v>730</v>
      </c>
      <c r="D67" s="165"/>
      <c r="E67" s="151">
        <f>SUM(D68:D70)</f>
        <v>0</v>
      </c>
      <c r="F67" s="151"/>
      <c r="G67" s="151"/>
      <c r="H67" s="151"/>
      <c r="I67" s="151"/>
      <c r="J67" s="151"/>
      <c r="K67" s="151"/>
      <c r="L67" s="151"/>
      <c r="M67" s="320"/>
      <c r="N67" s="151"/>
      <c r="O67" s="788"/>
    </row>
    <row r="68" spans="2:15" s="166" customFormat="1" ht="18" hidden="1" customHeight="1" x14ac:dyDescent="0.3">
      <c r="B68" s="163" t="s">
        <v>731</v>
      </c>
      <c r="C68" s="167" t="s">
        <v>732</v>
      </c>
      <c r="D68" s="165"/>
      <c r="E68" s="151"/>
      <c r="F68" s="151"/>
      <c r="G68" s="151"/>
      <c r="H68" s="151"/>
      <c r="I68" s="151"/>
      <c r="J68" s="151"/>
      <c r="K68" s="151"/>
      <c r="L68" s="151"/>
      <c r="M68" s="320"/>
      <c r="N68" s="151"/>
      <c r="O68" s="788"/>
    </row>
    <row r="69" spans="2:15" s="166" customFormat="1" ht="18" hidden="1" customHeight="1" x14ac:dyDescent="0.3">
      <c r="B69" s="163" t="s">
        <v>731</v>
      </c>
      <c r="C69" s="167" t="s">
        <v>733</v>
      </c>
      <c r="D69" s="165"/>
      <c r="E69" s="151"/>
      <c r="F69" s="151"/>
      <c r="G69" s="151"/>
      <c r="H69" s="151"/>
      <c r="I69" s="151"/>
      <c r="J69" s="151"/>
      <c r="K69" s="151"/>
      <c r="L69" s="151"/>
      <c r="M69" s="320"/>
      <c r="N69" s="151"/>
      <c r="O69" s="788"/>
    </row>
    <row r="70" spans="2:15" s="166" customFormat="1" ht="18" hidden="1" customHeight="1" x14ac:dyDescent="0.3">
      <c r="B70" s="163" t="s">
        <v>734</v>
      </c>
      <c r="C70" s="167" t="s">
        <v>735</v>
      </c>
      <c r="D70" s="165"/>
      <c r="E70" s="151"/>
      <c r="F70" s="151"/>
      <c r="G70" s="151"/>
      <c r="H70" s="151"/>
      <c r="I70" s="151"/>
      <c r="J70" s="151"/>
      <c r="K70" s="151"/>
      <c r="L70" s="151"/>
      <c r="M70" s="320"/>
      <c r="N70" s="151"/>
      <c r="O70" s="788"/>
    </row>
    <row r="71" spans="2:15" s="166" customFormat="1" ht="18" customHeight="1" x14ac:dyDescent="0.3">
      <c r="B71" s="158" t="s">
        <v>736</v>
      </c>
      <c r="C71" s="158" t="s">
        <v>737</v>
      </c>
      <c r="D71" s="159"/>
      <c r="E71" s="147">
        <f>+E72</f>
        <v>2800</v>
      </c>
      <c r="F71" s="147"/>
      <c r="G71" s="147"/>
      <c r="H71" s="147"/>
      <c r="I71" s="147"/>
      <c r="J71" s="147"/>
      <c r="K71" s="147"/>
      <c r="L71" s="147">
        <f>+L72</f>
        <v>2800</v>
      </c>
      <c r="M71" s="338">
        <f>((L71*100%)/L107)</f>
        <v>1.2378133003233002E-3</v>
      </c>
      <c r="N71" s="147">
        <f>+N72</f>
        <v>3167.18</v>
      </c>
      <c r="O71" s="788"/>
    </row>
    <row r="72" spans="2:15" s="166" customFormat="1" ht="18" customHeight="1" x14ac:dyDescent="0.3">
      <c r="B72" s="160" t="s">
        <v>738</v>
      </c>
      <c r="C72" s="161" t="s">
        <v>739</v>
      </c>
      <c r="D72" s="165"/>
      <c r="E72" s="151">
        <f>SUM(E73+E74)</f>
        <v>2800</v>
      </c>
      <c r="F72" s="151"/>
      <c r="G72" s="151"/>
      <c r="H72" s="151"/>
      <c r="I72" s="151"/>
      <c r="J72" s="151"/>
      <c r="K72" s="151"/>
      <c r="L72" s="151">
        <f>SUM(L73+L74)</f>
        <v>2800</v>
      </c>
      <c r="M72" s="320"/>
      <c r="N72" s="151">
        <f>SUM(N73+N74)</f>
        <v>3167.18</v>
      </c>
      <c r="O72" s="788"/>
    </row>
    <row r="73" spans="2:15" s="166" customFormat="1" ht="18" hidden="1" customHeight="1" x14ac:dyDescent="0.3">
      <c r="B73" s="163" t="s">
        <v>740</v>
      </c>
      <c r="C73" s="164" t="s">
        <v>741</v>
      </c>
      <c r="D73" s="165"/>
      <c r="E73" s="151"/>
      <c r="F73" s="151"/>
      <c r="G73" s="151"/>
      <c r="H73" s="151"/>
      <c r="I73" s="151"/>
      <c r="J73" s="151"/>
      <c r="K73" s="151"/>
      <c r="L73" s="151"/>
      <c r="M73" s="320"/>
      <c r="N73" s="151"/>
      <c r="O73" s="788"/>
    </row>
    <row r="74" spans="2:15" s="166" customFormat="1" ht="18" customHeight="1" x14ac:dyDescent="0.3">
      <c r="B74" s="163" t="s">
        <v>742</v>
      </c>
      <c r="C74" s="164" t="s">
        <v>743</v>
      </c>
      <c r="E74" s="165">
        <v>2800</v>
      </c>
      <c r="F74" s="165"/>
      <c r="G74" s="151"/>
      <c r="H74" s="151"/>
      <c r="I74" s="151"/>
      <c r="J74" s="151"/>
      <c r="K74" s="151"/>
      <c r="L74" s="165">
        <f>E74+F74+G74-H74-I74+J74-K74</f>
        <v>2800</v>
      </c>
      <c r="M74" s="320"/>
      <c r="N74" s="165">
        <v>3167.18</v>
      </c>
      <c r="O74" s="788"/>
    </row>
    <row r="75" spans="2:15" s="171" customFormat="1" ht="18" hidden="1" customHeight="1" x14ac:dyDescent="0.3">
      <c r="B75" s="168"/>
      <c r="C75" s="169" t="s">
        <v>744</v>
      </c>
      <c r="D75" s="170"/>
      <c r="E75" s="170">
        <f>+E76</f>
        <v>0</v>
      </c>
      <c r="F75" s="170"/>
      <c r="G75" s="170"/>
      <c r="H75" s="170"/>
      <c r="I75" s="170"/>
      <c r="J75" s="170"/>
      <c r="K75" s="170"/>
      <c r="L75" s="170"/>
      <c r="M75" s="322"/>
      <c r="N75" s="170"/>
      <c r="O75" s="804"/>
    </row>
    <row r="76" spans="2:15" s="136" customFormat="1" ht="18" hidden="1" customHeight="1" x14ac:dyDescent="0.3">
      <c r="B76" s="172" t="s">
        <v>745</v>
      </c>
      <c r="C76" s="172" t="s">
        <v>746</v>
      </c>
      <c r="D76" s="159"/>
      <c r="E76" s="147">
        <f>+E77+E79+E83+E88</f>
        <v>0</v>
      </c>
      <c r="F76" s="147"/>
      <c r="G76" s="147"/>
      <c r="H76" s="147"/>
      <c r="I76" s="147"/>
      <c r="J76" s="147"/>
      <c r="K76" s="147"/>
      <c r="L76" s="147"/>
      <c r="M76" s="319"/>
      <c r="N76" s="147"/>
      <c r="O76" s="803"/>
    </row>
    <row r="77" spans="2:15" s="166" customFormat="1" ht="18" hidden="1" customHeight="1" x14ac:dyDescent="0.3">
      <c r="B77" s="160" t="s">
        <v>747</v>
      </c>
      <c r="C77" s="161" t="s">
        <v>748</v>
      </c>
      <c r="D77" s="151"/>
      <c r="E77" s="151">
        <f>SUM(D78)</f>
        <v>0</v>
      </c>
      <c r="F77" s="151"/>
      <c r="G77" s="151"/>
      <c r="H77" s="151"/>
      <c r="I77" s="151"/>
      <c r="J77" s="151"/>
      <c r="K77" s="151"/>
      <c r="L77" s="151"/>
      <c r="M77" s="320"/>
      <c r="N77" s="151"/>
      <c r="O77" s="788"/>
    </row>
    <row r="78" spans="2:15" s="166" customFormat="1" ht="18" hidden="1" customHeight="1" x14ac:dyDescent="0.3">
      <c r="B78" s="163" t="s">
        <v>749</v>
      </c>
      <c r="C78" s="164" t="s">
        <v>750</v>
      </c>
      <c r="D78" s="165"/>
      <c r="E78" s="151"/>
      <c r="F78" s="151"/>
      <c r="G78" s="151"/>
      <c r="H78" s="151"/>
      <c r="I78" s="151"/>
      <c r="J78" s="151"/>
      <c r="K78" s="151"/>
      <c r="L78" s="151"/>
      <c r="M78" s="320"/>
      <c r="N78" s="151"/>
      <c r="O78" s="788"/>
    </row>
    <row r="79" spans="2:15" s="166" customFormat="1" ht="18" hidden="1" customHeight="1" x14ac:dyDescent="0.3">
      <c r="B79" s="160" t="s">
        <v>751</v>
      </c>
      <c r="C79" s="173" t="s">
        <v>752</v>
      </c>
      <c r="D79" s="151"/>
      <c r="E79" s="151">
        <f>SUM(D80:D82)</f>
        <v>0</v>
      </c>
      <c r="F79" s="151"/>
      <c r="G79" s="151"/>
      <c r="H79" s="151"/>
      <c r="I79" s="151"/>
      <c r="J79" s="151"/>
      <c r="K79" s="151"/>
      <c r="L79" s="151"/>
      <c r="M79" s="320"/>
      <c r="N79" s="151"/>
      <c r="O79" s="788"/>
    </row>
    <row r="80" spans="2:15" s="166" customFormat="1" ht="18" hidden="1" customHeight="1" x14ac:dyDescent="0.3">
      <c r="B80" s="163" t="s">
        <v>753</v>
      </c>
      <c r="C80" s="164" t="s">
        <v>754</v>
      </c>
      <c r="D80" s="165"/>
      <c r="E80" s="151"/>
      <c r="F80" s="151"/>
      <c r="G80" s="151"/>
      <c r="H80" s="151"/>
      <c r="I80" s="151"/>
      <c r="J80" s="151"/>
      <c r="K80" s="151"/>
      <c r="L80" s="151"/>
      <c r="M80" s="320"/>
      <c r="N80" s="151"/>
      <c r="O80" s="788"/>
    </row>
    <row r="81" spans="2:15" s="166" customFormat="1" ht="18" hidden="1" customHeight="1" x14ac:dyDescent="0.3">
      <c r="B81" s="163" t="s">
        <v>755</v>
      </c>
      <c r="C81" s="164" t="s">
        <v>756</v>
      </c>
      <c r="D81" s="165"/>
      <c r="E81" s="151"/>
      <c r="F81" s="151"/>
      <c r="G81" s="151"/>
      <c r="H81" s="151"/>
      <c r="I81" s="151"/>
      <c r="J81" s="151"/>
      <c r="K81" s="151"/>
      <c r="L81" s="151"/>
      <c r="M81" s="320"/>
      <c r="N81" s="151"/>
      <c r="O81" s="788"/>
    </row>
    <row r="82" spans="2:15" s="166" customFormat="1" ht="18" hidden="1" customHeight="1" x14ac:dyDescent="0.3">
      <c r="B82" s="163" t="s">
        <v>757</v>
      </c>
      <c r="C82" s="164" t="s">
        <v>758</v>
      </c>
      <c r="D82" s="165"/>
      <c r="E82" s="151"/>
      <c r="F82" s="151"/>
      <c r="G82" s="151"/>
      <c r="H82" s="151"/>
      <c r="I82" s="151"/>
      <c r="J82" s="151"/>
      <c r="K82" s="151"/>
      <c r="L82" s="151"/>
      <c r="M82" s="320"/>
      <c r="N82" s="151"/>
      <c r="O82" s="788"/>
    </row>
    <row r="83" spans="2:15" s="166" customFormat="1" ht="18" hidden="1" customHeight="1" x14ac:dyDescent="0.3">
      <c r="B83" s="160" t="s">
        <v>759</v>
      </c>
      <c r="C83" s="173" t="s">
        <v>760</v>
      </c>
      <c r="D83" s="165"/>
      <c r="E83" s="151">
        <f>SUM(D84:D87)</f>
        <v>0</v>
      </c>
      <c r="F83" s="151"/>
      <c r="G83" s="151"/>
      <c r="H83" s="151"/>
      <c r="I83" s="151"/>
      <c r="J83" s="151"/>
      <c r="K83" s="151"/>
      <c r="L83" s="151"/>
      <c r="M83" s="320"/>
      <c r="N83" s="151"/>
      <c r="O83" s="788"/>
    </row>
    <row r="84" spans="2:15" s="166" customFormat="1" ht="18" hidden="1" customHeight="1" x14ac:dyDescent="0.3">
      <c r="B84" s="163" t="s">
        <v>761</v>
      </c>
      <c r="C84" s="167" t="s">
        <v>762</v>
      </c>
      <c r="D84" s="165"/>
      <c r="E84" s="151"/>
      <c r="F84" s="151"/>
      <c r="G84" s="151"/>
      <c r="H84" s="151"/>
      <c r="I84" s="151"/>
      <c r="J84" s="151"/>
      <c r="K84" s="151"/>
      <c r="L84" s="151"/>
      <c r="M84" s="320"/>
      <c r="N84" s="151"/>
      <c r="O84" s="788"/>
    </row>
    <row r="85" spans="2:15" s="166" customFormat="1" ht="18" hidden="1" customHeight="1" x14ac:dyDescent="0.3">
      <c r="B85" s="163" t="s">
        <v>761</v>
      </c>
      <c r="C85" s="164" t="s">
        <v>763</v>
      </c>
      <c r="D85" s="165"/>
      <c r="E85" s="151"/>
      <c r="F85" s="151"/>
      <c r="G85" s="151"/>
      <c r="H85" s="151"/>
      <c r="I85" s="151"/>
      <c r="J85" s="151"/>
      <c r="K85" s="151"/>
      <c r="L85" s="151"/>
      <c r="M85" s="320"/>
      <c r="N85" s="151"/>
      <c r="O85" s="788"/>
    </row>
    <row r="86" spans="2:15" s="166" customFormat="1" ht="18" hidden="1" customHeight="1" x14ac:dyDescent="0.3">
      <c r="B86" s="163" t="s">
        <v>761</v>
      </c>
      <c r="C86" s="167" t="s">
        <v>764</v>
      </c>
      <c r="D86" s="165"/>
      <c r="E86" s="151"/>
      <c r="F86" s="151"/>
      <c r="G86" s="151"/>
      <c r="H86" s="151"/>
      <c r="I86" s="151"/>
      <c r="J86" s="151"/>
      <c r="K86" s="151"/>
      <c r="L86" s="151"/>
      <c r="M86" s="320"/>
      <c r="N86" s="151"/>
      <c r="O86" s="788"/>
    </row>
    <row r="87" spans="2:15" s="166" customFormat="1" ht="18" hidden="1" customHeight="1" x14ac:dyDescent="0.3">
      <c r="B87" s="163" t="s">
        <v>761</v>
      </c>
      <c r="C87" s="167" t="s">
        <v>765</v>
      </c>
      <c r="D87" s="165"/>
      <c r="E87" s="151"/>
      <c r="F87" s="151"/>
      <c r="G87" s="151"/>
      <c r="H87" s="151"/>
      <c r="I87" s="151"/>
      <c r="J87" s="151"/>
      <c r="K87" s="151"/>
      <c r="L87" s="151"/>
      <c r="M87" s="320"/>
      <c r="N87" s="151"/>
      <c r="O87" s="788"/>
    </row>
    <row r="88" spans="2:15" s="166" customFormat="1" ht="18" hidden="1" customHeight="1" x14ac:dyDescent="0.3">
      <c r="B88" s="160" t="s">
        <v>766</v>
      </c>
      <c r="C88" s="173" t="s">
        <v>767</v>
      </c>
      <c r="D88" s="151"/>
      <c r="E88" s="151">
        <f>SUM(D89)</f>
        <v>0</v>
      </c>
      <c r="F88" s="151"/>
      <c r="G88" s="151"/>
      <c r="H88" s="151"/>
      <c r="I88" s="151"/>
      <c r="J88" s="151"/>
      <c r="K88" s="151"/>
      <c r="L88" s="151"/>
      <c r="M88" s="320"/>
      <c r="N88" s="151"/>
      <c r="O88" s="788"/>
    </row>
    <row r="89" spans="2:15" s="166" customFormat="1" ht="18" hidden="1" customHeight="1" x14ac:dyDescent="0.3">
      <c r="B89" s="163" t="s">
        <v>768</v>
      </c>
      <c r="C89" s="164" t="s">
        <v>769</v>
      </c>
      <c r="D89" s="165"/>
      <c r="E89" s="151"/>
      <c r="F89" s="151"/>
      <c r="G89" s="151"/>
      <c r="H89" s="151"/>
      <c r="I89" s="151"/>
      <c r="J89" s="151"/>
      <c r="K89" s="151"/>
      <c r="L89" s="151"/>
      <c r="M89" s="320"/>
      <c r="N89" s="151"/>
      <c r="O89" s="788"/>
    </row>
    <row r="90" spans="2:15" s="174" customFormat="1" ht="18" customHeight="1" x14ac:dyDescent="0.3">
      <c r="B90" s="168"/>
      <c r="C90" s="169" t="s">
        <v>770</v>
      </c>
      <c r="D90" s="170"/>
      <c r="E90" s="170">
        <f>+E94+E101</f>
        <v>964340.1</v>
      </c>
      <c r="F90" s="170"/>
      <c r="G90" s="170"/>
      <c r="H90" s="170"/>
      <c r="I90" s="170"/>
      <c r="J90" s="170"/>
      <c r="K90" s="170"/>
      <c r="L90" s="170">
        <f>+L94+L101</f>
        <v>964340.1</v>
      </c>
      <c r="M90" s="323">
        <f>((L90*100%)/L107)</f>
        <v>0.42631178636253619</v>
      </c>
      <c r="N90" s="170">
        <f>+N94+N101</f>
        <v>0</v>
      </c>
      <c r="O90" s="805"/>
    </row>
    <row r="91" spans="2:15" s="136" customFormat="1" ht="18" hidden="1" customHeight="1" x14ac:dyDescent="0.3">
      <c r="B91" s="172" t="s">
        <v>771</v>
      </c>
      <c r="C91" s="172" t="s">
        <v>795</v>
      </c>
      <c r="D91" s="159"/>
      <c r="E91" s="147"/>
      <c r="F91" s="147"/>
      <c r="G91" s="147"/>
      <c r="H91" s="147"/>
      <c r="I91" s="147"/>
      <c r="J91" s="147"/>
      <c r="K91" s="147"/>
      <c r="L91" s="147"/>
      <c r="M91" s="319"/>
      <c r="N91" s="147"/>
      <c r="O91" s="803"/>
    </row>
    <row r="92" spans="2:15" s="162" customFormat="1" ht="18" hidden="1" customHeight="1" x14ac:dyDescent="0.3">
      <c r="B92" s="160" t="s">
        <v>773</v>
      </c>
      <c r="C92" s="173" t="s">
        <v>774</v>
      </c>
      <c r="D92" s="151"/>
      <c r="E92" s="151">
        <f>+D93</f>
        <v>0</v>
      </c>
      <c r="F92" s="151"/>
      <c r="G92" s="151"/>
      <c r="H92" s="151"/>
      <c r="I92" s="151"/>
      <c r="J92" s="151"/>
      <c r="K92" s="151"/>
      <c r="L92" s="151"/>
      <c r="M92" s="320"/>
      <c r="N92" s="151"/>
      <c r="O92" s="802"/>
    </row>
    <row r="93" spans="2:15" s="166" customFormat="1" ht="18" hidden="1" customHeight="1" x14ac:dyDescent="0.3">
      <c r="B93" s="163" t="s">
        <v>775</v>
      </c>
      <c r="C93" s="167" t="s">
        <v>776</v>
      </c>
      <c r="D93" s="165"/>
      <c r="E93" s="151"/>
      <c r="F93" s="151"/>
      <c r="G93" s="151"/>
      <c r="H93" s="151"/>
      <c r="I93" s="151"/>
      <c r="J93" s="151"/>
      <c r="K93" s="151"/>
      <c r="L93" s="151"/>
      <c r="M93" s="320"/>
      <c r="N93" s="151"/>
      <c r="O93" s="788"/>
    </row>
    <row r="94" spans="2:15" s="136" customFormat="1" ht="18" customHeight="1" x14ac:dyDescent="0.3">
      <c r="B94" s="172" t="s">
        <v>827</v>
      </c>
      <c r="C94" s="172" t="s">
        <v>772</v>
      </c>
      <c r="D94" s="159"/>
      <c r="E94" s="147">
        <f>+E95+E99</f>
        <v>961687.1</v>
      </c>
      <c r="F94" s="147"/>
      <c r="G94" s="147"/>
      <c r="H94" s="147"/>
      <c r="I94" s="147"/>
      <c r="J94" s="147"/>
      <c r="K94" s="147"/>
      <c r="L94" s="147">
        <f>+L95+L99</f>
        <v>961687.1</v>
      </c>
      <c r="M94" s="338">
        <f>((L94*100%)/L107)</f>
        <v>0.42513895826047987</v>
      </c>
      <c r="N94" s="147">
        <f>+N95+N99</f>
        <v>0</v>
      </c>
      <c r="O94" s="803"/>
    </row>
    <row r="95" spans="2:15" s="162" customFormat="1" ht="18" customHeight="1" x14ac:dyDescent="0.3">
      <c r="B95" s="160" t="s">
        <v>777</v>
      </c>
      <c r="C95" s="173" t="s">
        <v>778</v>
      </c>
      <c r="D95" s="151"/>
      <c r="E95" s="151">
        <f>SUM(E96:E100)</f>
        <v>961687.1</v>
      </c>
      <c r="F95" s="151"/>
      <c r="G95" s="151"/>
      <c r="H95" s="151"/>
      <c r="I95" s="151"/>
      <c r="J95" s="151"/>
      <c r="K95" s="151"/>
      <c r="L95" s="151">
        <f>SUM(L96:L100)</f>
        <v>961687.1</v>
      </c>
      <c r="M95" s="320"/>
      <c r="N95" s="151">
        <f>SUM(N96:N100)</f>
        <v>0</v>
      </c>
      <c r="O95" s="802"/>
    </row>
    <row r="96" spans="2:15" s="166" customFormat="1" ht="30.6" hidden="1" customHeight="1" x14ac:dyDescent="0.3">
      <c r="B96" s="163" t="s">
        <v>779</v>
      </c>
      <c r="C96" s="167" t="s">
        <v>780</v>
      </c>
      <c r="D96" s="165"/>
      <c r="E96" s="151"/>
      <c r="F96" s="151"/>
      <c r="G96" s="151"/>
      <c r="H96" s="151"/>
      <c r="I96" s="151"/>
      <c r="J96" s="151"/>
      <c r="K96" s="151"/>
      <c r="L96" s="151"/>
      <c r="M96" s="320"/>
      <c r="N96" s="151"/>
      <c r="O96" s="788"/>
    </row>
    <row r="97" spans="2:15" s="166" customFormat="1" ht="17.399999999999999" hidden="1" customHeight="1" x14ac:dyDescent="0.3">
      <c r="B97" s="163" t="s">
        <v>881</v>
      </c>
      <c r="C97" s="339" t="s">
        <v>882</v>
      </c>
      <c r="D97" s="310"/>
      <c r="E97" s="151">
        <v>0</v>
      </c>
      <c r="F97" s="165"/>
      <c r="G97" s="151"/>
      <c r="H97" s="151"/>
      <c r="I97" s="151"/>
      <c r="J97" s="151"/>
      <c r="K97" s="151"/>
      <c r="L97" s="165">
        <f t="shared" ref="L97:N98" si="2">E97+F97+G97-H97-I97+J97-K97</f>
        <v>0</v>
      </c>
      <c r="M97" s="320"/>
      <c r="N97" s="165">
        <f t="shared" si="2"/>
        <v>0</v>
      </c>
      <c r="O97" s="788"/>
    </row>
    <row r="98" spans="2:15" s="166" customFormat="1" ht="18" customHeight="1" x14ac:dyDescent="0.3">
      <c r="B98" s="163" t="s">
        <v>781</v>
      </c>
      <c r="C98" s="167" t="s">
        <v>782</v>
      </c>
      <c r="E98" s="165">
        <v>961687.1</v>
      </c>
      <c r="F98" s="151"/>
      <c r="G98" s="151"/>
      <c r="H98" s="165"/>
      <c r="I98" s="151"/>
      <c r="J98" s="151"/>
      <c r="K98" s="151"/>
      <c r="L98" s="165">
        <f t="shared" si="2"/>
        <v>961687.1</v>
      </c>
      <c r="M98" s="320"/>
      <c r="N98" s="165"/>
      <c r="O98" s="788"/>
    </row>
    <row r="99" spans="2:15" s="166" customFormat="1" ht="18" hidden="1" customHeight="1" x14ac:dyDescent="0.3">
      <c r="B99" s="163" t="s">
        <v>783</v>
      </c>
      <c r="C99" s="167" t="s">
        <v>784</v>
      </c>
      <c r="D99" s="165"/>
      <c r="E99" s="151"/>
      <c r="F99" s="151"/>
      <c r="G99" s="151"/>
      <c r="H99" s="151"/>
      <c r="I99" s="151"/>
      <c r="J99" s="151"/>
      <c r="K99" s="151"/>
      <c r="L99" s="151"/>
      <c r="M99" s="320"/>
      <c r="N99" s="151"/>
      <c r="O99" s="788"/>
    </row>
    <row r="100" spans="2:15" s="166" customFormat="1" ht="18" hidden="1" customHeight="1" x14ac:dyDescent="0.3">
      <c r="B100" s="163" t="s">
        <v>785</v>
      </c>
      <c r="C100" s="167" t="s">
        <v>786</v>
      </c>
      <c r="D100" s="165"/>
      <c r="E100" s="151"/>
      <c r="F100" s="151"/>
      <c r="G100" s="151"/>
      <c r="H100" s="151"/>
      <c r="I100" s="151"/>
      <c r="J100" s="151"/>
      <c r="K100" s="151"/>
      <c r="L100" s="151"/>
      <c r="M100" s="320"/>
      <c r="N100" s="151"/>
      <c r="O100" s="788"/>
    </row>
    <row r="101" spans="2:15" s="136" customFormat="1" ht="18" customHeight="1" x14ac:dyDescent="0.3">
      <c r="B101" s="172" t="s">
        <v>787</v>
      </c>
      <c r="C101" s="172" t="s">
        <v>788</v>
      </c>
      <c r="D101" s="159"/>
      <c r="E101" s="147">
        <f>+E102</f>
        <v>2653</v>
      </c>
      <c r="F101" s="147"/>
      <c r="G101" s="147"/>
      <c r="H101" s="147"/>
      <c r="I101" s="147"/>
      <c r="J101" s="147"/>
      <c r="K101" s="147"/>
      <c r="L101" s="147">
        <f>+L102</f>
        <v>2653</v>
      </c>
      <c r="M101" s="338">
        <f>((L101*100%)/L107)</f>
        <v>1.172828102056327E-3</v>
      </c>
      <c r="N101" s="147">
        <f>+N102</f>
        <v>0</v>
      </c>
      <c r="O101" s="803"/>
    </row>
    <row r="102" spans="2:15" s="166" customFormat="1" ht="18" customHeight="1" x14ac:dyDescent="0.3">
      <c r="B102" s="160" t="s">
        <v>789</v>
      </c>
      <c r="C102" s="173" t="s">
        <v>788</v>
      </c>
      <c r="D102" s="165"/>
      <c r="E102" s="151">
        <f>SUM(E103:E106)</f>
        <v>2653</v>
      </c>
      <c r="F102" s="151"/>
      <c r="G102" s="151"/>
      <c r="H102" s="151"/>
      <c r="I102" s="151"/>
      <c r="J102" s="151"/>
      <c r="K102" s="151"/>
      <c r="L102" s="151">
        <f>SUM(L103:L106)</f>
        <v>2653</v>
      </c>
      <c r="M102" s="320"/>
      <c r="N102" s="151">
        <f>SUM(N103:N106)</f>
        <v>0</v>
      </c>
      <c r="O102" s="788"/>
    </row>
    <row r="103" spans="2:15" s="166" customFormat="1" ht="18" customHeight="1" x14ac:dyDescent="0.3">
      <c r="B103" s="163" t="s">
        <v>790</v>
      </c>
      <c r="C103" s="167" t="s">
        <v>883</v>
      </c>
      <c r="D103" s="165"/>
      <c r="E103" s="165">
        <v>2653</v>
      </c>
      <c r="F103" s="165"/>
      <c r="G103" s="151"/>
      <c r="H103" s="151"/>
      <c r="I103" s="151"/>
      <c r="J103" s="151"/>
      <c r="K103" s="151"/>
      <c r="L103" s="165">
        <f>E103+F103+G103-H103-I103+J103-K103</f>
        <v>2653</v>
      </c>
      <c r="M103" s="320"/>
      <c r="N103" s="165">
        <v>0</v>
      </c>
      <c r="O103" s="788"/>
    </row>
    <row r="104" spans="2:15" s="166" customFormat="1" ht="21" customHeight="1" x14ac:dyDescent="0.3">
      <c r="B104" s="163" t="s">
        <v>790</v>
      </c>
      <c r="C104" s="167" t="s">
        <v>921</v>
      </c>
      <c r="D104" s="165">
        <f>+[3]Estimacion!J82</f>
        <v>0</v>
      </c>
      <c r="E104" s="151"/>
      <c r="F104" s="151"/>
      <c r="G104" s="151"/>
      <c r="H104" s="151"/>
      <c r="I104" s="151"/>
      <c r="J104" s="151"/>
      <c r="K104" s="151"/>
      <c r="L104" s="151"/>
      <c r="M104" s="320"/>
      <c r="N104" s="151"/>
      <c r="O104" s="788"/>
    </row>
    <row r="105" spans="2:15" s="166" customFormat="1" ht="64.2" customHeight="1" x14ac:dyDescent="0.3">
      <c r="B105" s="163" t="s">
        <v>791</v>
      </c>
      <c r="C105" s="167" t="s">
        <v>792</v>
      </c>
      <c r="D105" s="165">
        <f>+[3]Estimacion!J85</f>
        <v>0</v>
      </c>
      <c r="E105" s="151"/>
      <c r="F105" s="151"/>
      <c r="G105" s="151"/>
      <c r="H105" s="151"/>
      <c r="I105" s="151"/>
      <c r="J105" s="151"/>
      <c r="K105" s="151"/>
      <c r="L105" s="151"/>
      <c r="M105" s="320"/>
      <c r="N105" s="151"/>
      <c r="O105" s="788"/>
    </row>
    <row r="106" spans="2:15" s="166" customFormat="1" ht="65.400000000000006" customHeight="1" thickBot="1" x14ac:dyDescent="0.35">
      <c r="B106" s="163" t="s">
        <v>793</v>
      </c>
      <c r="C106" s="167" t="s">
        <v>794</v>
      </c>
      <c r="D106" s="165">
        <f>+[3]Estimacion!J86</f>
        <v>0</v>
      </c>
      <c r="E106" s="151"/>
      <c r="F106" s="151"/>
      <c r="G106" s="151"/>
      <c r="H106" s="151"/>
      <c r="I106" s="151"/>
      <c r="J106" s="151"/>
      <c r="K106" s="151"/>
      <c r="L106" s="151"/>
      <c r="M106" s="320"/>
      <c r="N106" s="151"/>
      <c r="O106" s="788"/>
    </row>
    <row r="107" spans="2:15" s="136" customFormat="1" ht="27" customHeight="1" thickBot="1" x14ac:dyDescent="0.35">
      <c r="B107" s="735" t="s">
        <v>324</v>
      </c>
      <c r="C107" s="736"/>
      <c r="D107" s="736"/>
      <c r="E107" s="317">
        <f>+E90+E75+E7</f>
        <v>2262053.574047619</v>
      </c>
      <c r="F107" s="317"/>
      <c r="G107" s="317"/>
      <c r="H107" s="317"/>
      <c r="I107" s="317"/>
      <c r="J107" s="317"/>
      <c r="K107" s="317"/>
      <c r="L107" s="317">
        <f>+L7+L90</f>
        <v>2262053.574047619</v>
      </c>
      <c r="M107" s="324">
        <f>+M90+M7</f>
        <v>1</v>
      </c>
      <c r="N107" s="317">
        <f>+N7+N90</f>
        <v>1352908.48</v>
      </c>
      <c r="O107" s="806"/>
    </row>
    <row r="110" spans="2:15" x14ac:dyDescent="0.25">
      <c r="D110" s="181"/>
      <c r="E110" s="181"/>
      <c r="K110" s="137" t="s">
        <v>1142</v>
      </c>
      <c r="N110" s="137">
        <v>1205744.6299999999</v>
      </c>
    </row>
    <row r="111" spans="2:15" x14ac:dyDescent="0.25">
      <c r="D111" s="181"/>
      <c r="E111" s="181"/>
      <c r="K111" s="139">
        <f>1352908.48+961687.1</f>
        <v>2314595.58</v>
      </c>
    </row>
    <row r="112" spans="2:15" x14ac:dyDescent="0.25">
      <c r="D112" s="181"/>
      <c r="E112" s="181"/>
      <c r="K112" s="366"/>
      <c r="N112" s="366">
        <f>+N107-N110</f>
        <v>147163.85000000009</v>
      </c>
    </row>
    <row r="113" spans="2:5" x14ac:dyDescent="0.25">
      <c r="D113" s="181"/>
      <c r="E113" s="181"/>
    </row>
    <row r="114" spans="2:5" x14ac:dyDescent="0.25">
      <c r="D114" s="181"/>
      <c r="E114" s="181"/>
    </row>
    <row r="115" spans="2:5" x14ac:dyDescent="0.25">
      <c r="D115" s="181"/>
      <c r="E115" s="181"/>
    </row>
    <row r="116" spans="2:5" x14ac:dyDescent="0.25">
      <c r="D116" s="181"/>
      <c r="E116" s="181"/>
    </row>
    <row r="117" spans="2:5" x14ac:dyDescent="0.25">
      <c r="D117" s="181"/>
      <c r="E117" s="181"/>
    </row>
    <row r="118" spans="2:5" x14ac:dyDescent="0.25">
      <c r="D118" s="181"/>
      <c r="E118" s="181"/>
    </row>
    <row r="119" spans="2:5" x14ac:dyDescent="0.25">
      <c r="B119" s="738" t="s">
        <v>581</v>
      </c>
      <c r="C119" s="738"/>
      <c r="D119" s="738"/>
      <c r="E119" s="182"/>
    </row>
    <row r="120" spans="2:5" x14ac:dyDescent="0.25">
      <c r="B120" s="183"/>
      <c r="C120" s="182"/>
      <c r="D120" s="182"/>
      <c r="E120" s="182"/>
    </row>
    <row r="121" spans="2:5" x14ac:dyDescent="0.25">
      <c r="B121" s="183"/>
      <c r="C121" s="182"/>
      <c r="D121" s="182"/>
      <c r="E121" s="182"/>
    </row>
    <row r="122" spans="2:5" x14ac:dyDescent="0.25">
      <c r="B122" s="738" t="s">
        <v>582</v>
      </c>
      <c r="C122" s="738"/>
      <c r="D122" s="738"/>
      <c r="E122" s="586" t="s">
        <v>583</v>
      </c>
    </row>
    <row r="123" spans="2:5" x14ac:dyDescent="0.25">
      <c r="B123" s="183"/>
      <c r="C123" s="182"/>
      <c r="D123" s="182"/>
      <c r="E123" s="182"/>
    </row>
    <row r="124" spans="2:5" x14ac:dyDescent="0.25">
      <c r="B124" s="183"/>
      <c r="C124" s="182"/>
      <c r="D124" s="182"/>
      <c r="E124" s="182"/>
    </row>
    <row r="125" spans="2:5" x14ac:dyDescent="0.25">
      <c r="B125" s="183"/>
      <c r="C125" s="182"/>
      <c r="D125" s="182"/>
      <c r="E125" s="182"/>
    </row>
    <row r="126" spans="2:5" x14ac:dyDescent="0.25">
      <c r="B126" s="183"/>
      <c r="C126" s="182"/>
      <c r="D126" s="182"/>
      <c r="E126" s="182"/>
    </row>
    <row r="127" spans="2:5" ht="17.100000000000001" customHeight="1" x14ac:dyDescent="0.25">
      <c r="B127" s="183"/>
      <c r="C127" s="182"/>
      <c r="D127" s="182"/>
      <c r="E127" s="182"/>
    </row>
    <row r="128" spans="2:5" ht="17.100000000000001" customHeight="1" x14ac:dyDescent="0.25">
      <c r="B128" s="184" t="s">
        <v>584</v>
      </c>
      <c r="C128" s="184"/>
      <c r="D128" s="184"/>
      <c r="E128" s="184" t="s">
        <v>585</v>
      </c>
    </row>
    <row r="129" spans="2:5" x14ac:dyDescent="0.25">
      <c r="B129" s="185" t="s">
        <v>586</v>
      </c>
      <c r="C129" s="185"/>
      <c r="D129" s="185"/>
      <c r="E129" s="185" t="s">
        <v>587</v>
      </c>
    </row>
    <row r="130" spans="2:5" ht="14.4" thickBot="1" x14ac:dyDescent="0.3">
      <c r="B130" s="185"/>
      <c r="C130" s="185"/>
      <c r="D130" s="185"/>
      <c r="E130" s="185"/>
    </row>
    <row r="131" spans="2:5" x14ac:dyDescent="0.25">
      <c r="B131" s="727" t="s">
        <v>588</v>
      </c>
      <c r="C131" s="728"/>
      <c r="D131" s="728"/>
      <c r="E131" s="728"/>
    </row>
    <row r="132" spans="2:5" ht="14.4" thickBot="1" x14ac:dyDescent="0.3">
      <c r="B132" s="729"/>
      <c r="C132" s="730"/>
      <c r="D132" s="730"/>
      <c r="E132" s="730"/>
    </row>
    <row r="133" spans="2:5" x14ac:dyDescent="0.25">
      <c r="B133" s="186"/>
      <c r="C133" s="187"/>
      <c r="D133" s="184"/>
      <c r="E133" s="188"/>
    </row>
    <row r="134" spans="2:5" x14ac:dyDescent="0.25">
      <c r="B134" s="731" t="s">
        <v>589</v>
      </c>
      <c r="C134" s="732"/>
      <c r="D134" s="732"/>
      <c r="E134" s="732"/>
    </row>
    <row r="135" spans="2:5" x14ac:dyDescent="0.25">
      <c r="B135" s="731"/>
      <c r="C135" s="732"/>
      <c r="D135" s="732"/>
      <c r="E135" s="732"/>
    </row>
    <row r="136" spans="2:5" x14ac:dyDescent="0.25">
      <c r="B136" s="189"/>
      <c r="C136" s="182"/>
      <c r="D136" s="182"/>
      <c r="E136" s="183"/>
    </row>
    <row r="137" spans="2:5" x14ac:dyDescent="0.25">
      <c r="B137" s="189"/>
      <c r="C137" s="190"/>
      <c r="D137" s="182"/>
      <c r="E137" s="183"/>
    </row>
    <row r="138" spans="2:5" x14ac:dyDescent="0.25">
      <c r="B138" s="189"/>
      <c r="C138" s="190"/>
      <c r="D138" s="182"/>
      <c r="E138" s="183"/>
    </row>
    <row r="139" spans="2:5" x14ac:dyDescent="0.25">
      <c r="B139" s="189"/>
      <c r="C139" s="190"/>
      <c r="D139" s="182"/>
      <c r="E139" s="183"/>
    </row>
    <row r="140" spans="2:5" x14ac:dyDescent="0.25">
      <c r="B140" s="189"/>
      <c r="C140" s="190"/>
      <c r="D140" s="182"/>
      <c r="E140" s="183"/>
    </row>
    <row r="141" spans="2:5" x14ac:dyDescent="0.25">
      <c r="B141" s="189"/>
      <c r="C141" s="190"/>
      <c r="D141" s="182"/>
      <c r="E141" s="183"/>
    </row>
    <row r="142" spans="2:5" x14ac:dyDescent="0.25">
      <c r="B142" s="189" t="s">
        <v>590</v>
      </c>
      <c r="C142" s="191"/>
      <c r="D142" s="191"/>
      <c r="E142" s="184" t="s">
        <v>591</v>
      </c>
    </row>
    <row r="143" spans="2:5" x14ac:dyDescent="0.25">
      <c r="B143" s="192" t="s">
        <v>592</v>
      </c>
      <c r="C143" s="191"/>
      <c r="D143" s="191"/>
      <c r="E143" s="185" t="s">
        <v>593</v>
      </c>
    </row>
    <row r="144" spans="2:5" x14ac:dyDescent="0.25">
      <c r="B144" s="193" t="s">
        <v>594</v>
      </c>
      <c r="C144" s="194"/>
      <c r="D144" s="184"/>
      <c r="E144" s="195" t="s">
        <v>595</v>
      </c>
    </row>
    <row r="145" spans="2:5" x14ac:dyDescent="0.25">
      <c r="B145" s="189"/>
      <c r="C145" s="196"/>
      <c r="D145" s="184"/>
      <c r="E145" s="188"/>
    </row>
    <row r="146" spans="2:5" x14ac:dyDescent="0.25">
      <c r="B146" s="189"/>
      <c r="C146" s="196"/>
      <c r="D146" s="184"/>
      <c r="E146" s="188"/>
    </row>
    <row r="147" spans="2:5" x14ac:dyDescent="0.25">
      <c r="B147" s="189"/>
      <c r="C147" s="196"/>
      <c r="D147" s="184"/>
      <c r="E147" s="188"/>
    </row>
    <row r="148" spans="2:5" x14ac:dyDescent="0.25">
      <c r="B148" s="189"/>
      <c r="C148" s="196"/>
      <c r="D148" s="184"/>
      <c r="E148" s="188"/>
    </row>
    <row r="149" spans="2:5" x14ac:dyDescent="0.25">
      <c r="B149" s="189"/>
      <c r="C149" s="196"/>
      <c r="D149" s="184"/>
      <c r="E149" s="188"/>
    </row>
    <row r="150" spans="2:5" x14ac:dyDescent="0.25">
      <c r="B150" s="189"/>
      <c r="C150" s="196"/>
      <c r="D150" s="184"/>
      <c r="E150" s="188"/>
    </row>
    <row r="151" spans="2:5" x14ac:dyDescent="0.25">
      <c r="B151" s="189" t="s">
        <v>596</v>
      </c>
      <c r="C151" s="191"/>
      <c r="D151" s="191"/>
      <c r="E151" s="184" t="s">
        <v>597</v>
      </c>
    </row>
    <row r="152" spans="2:5" x14ac:dyDescent="0.25">
      <c r="B152" s="192" t="s">
        <v>598</v>
      </c>
      <c r="C152" s="191"/>
      <c r="D152" s="191"/>
      <c r="E152" s="197" t="s">
        <v>599</v>
      </c>
    </row>
    <row r="153" spans="2:5" x14ac:dyDescent="0.25">
      <c r="B153" s="193" t="s">
        <v>600</v>
      </c>
      <c r="C153" s="194"/>
      <c r="D153" s="184"/>
      <c r="E153" s="197" t="s">
        <v>601</v>
      </c>
    </row>
    <row r="154" spans="2:5" x14ac:dyDescent="0.25">
      <c r="B154" s="189"/>
      <c r="C154" s="196"/>
      <c r="D154" s="184"/>
      <c r="E154" s="197" t="s">
        <v>602</v>
      </c>
    </row>
    <row r="155" spans="2:5" x14ac:dyDescent="0.25">
      <c r="B155" s="189"/>
      <c r="C155" s="196"/>
      <c r="D155" s="184"/>
      <c r="E155" s="197" t="s">
        <v>603</v>
      </c>
    </row>
    <row r="156" spans="2:5" x14ac:dyDescent="0.25">
      <c r="B156" s="189"/>
      <c r="C156" s="196"/>
      <c r="D156" s="184"/>
      <c r="E156" s="188"/>
    </row>
    <row r="157" spans="2:5" ht="14.4" thickBot="1" x14ac:dyDescent="0.3">
      <c r="B157" s="198"/>
      <c r="C157" s="199"/>
      <c r="D157" s="200"/>
      <c r="E157" s="201"/>
    </row>
  </sheetData>
  <mergeCells count="19">
    <mergeCell ref="B119:D119"/>
    <mergeCell ref="B122:D122"/>
    <mergeCell ref="B131:E132"/>
    <mergeCell ref="B134:E135"/>
    <mergeCell ref="N4:N6"/>
    <mergeCell ref="F5:G5"/>
    <mergeCell ref="H5:I5"/>
    <mergeCell ref="J5:K5"/>
    <mergeCell ref="O10:P10"/>
    <mergeCell ref="B107:D107"/>
    <mergeCell ref="B1:M1"/>
    <mergeCell ref="B2:M2"/>
    <mergeCell ref="C3:E3"/>
    <mergeCell ref="B4:B6"/>
    <mergeCell ref="C4:C6"/>
    <mergeCell ref="E4:E6"/>
    <mergeCell ref="F4:K4"/>
    <mergeCell ref="L4:L6"/>
    <mergeCell ref="M4:M6"/>
  </mergeCells>
  <pageMargins left="0.25" right="0.25" top="0.75" bottom="0.75" header="0.3" footer="0.3"/>
  <pageSetup paperSize="9" scale="30" fitToHeight="0" orientation="portrait" horizont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00"/>
  <sheetViews>
    <sheetView tabSelected="1" topLeftCell="A2" zoomScale="49" zoomScaleNormal="49" workbookViewId="0">
      <pane ySplit="1932" topLeftCell="A67" activePane="bottomLeft"/>
      <selection activeCell="F9" sqref="F9"/>
      <selection pane="bottomLeft" activeCell="T93" sqref="T93"/>
    </sheetView>
  </sheetViews>
  <sheetFormatPr baseColWidth="10" defaultColWidth="11.44140625" defaultRowHeight="15.6" x14ac:dyDescent="0.3"/>
  <cols>
    <col min="1" max="1" width="4.6640625" style="367" customWidth="1"/>
    <col min="2" max="2" width="18.33203125" style="369" customWidth="1"/>
    <col min="3" max="3" width="60.33203125" style="371" customWidth="1"/>
    <col min="4" max="4" width="20.44140625" style="371" customWidth="1"/>
    <col min="5" max="5" width="15.5546875" style="791" customWidth="1"/>
    <col min="6" max="6" width="20.88671875" style="383" customWidth="1"/>
    <col min="7" max="7" width="22.33203125" style="383" customWidth="1"/>
    <col min="8" max="8" width="15.6640625" style="383" hidden="1" customWidth="1"/>
    <col min="9" max="9" width="18.33203125" style="383" hidden="1" customWidth="1"/>
    <col min="10" max="10" width="16.5546875" style="383" hidden="1" customWidth="1"/>
    <col min="11" max="11" width="23" style="383" hidden="1" customWidth="1"/>
    <col min="12" max="12" width="19.33203125" style="383" hidden="1" customWidth="1"/>
    <col min="13" max="13" width="18.6640625" style="383" hidden="1" customWidth="1"/>
    <col min="14" max="14" width="27.44140625" style="383" hidden="1" customWidth="1"/>
    <col min="15" max="15" width="9.5546875" style="395" hidden="1" customWidth="1"/>
    <col min="16" max="16" width="28" style="383" hidden="1" customWidth="1"/>
    <col min="17" max="17" width="26.6640625" style="367" hidden="1" customWidth="1"/>
    <col min="18" max="18" width="25" style="367" customWidth="1"/>
    <col min="19" max="19" width="19.5546875" style="367" customWidth="1"/>
    <col min="20" max="16384" width="11.44140625" style="367"/>
  </cols>
  <sheetData>
    <row r="1" spans="2:17" ht="47.25" customHeight="1" x14ac:dyDescent="0.3">
      <c r="B1" s="713" t="str">
        <f>+[2]Estimacion!A2</f>
        <v>CUERPO DE BOMBEROS MUNICIPAL DEL CANTÓN PASTAZA</v>
      </c>
      <c r="C1" s="713"/>
      <c r="D1" s="713"/>
      <c r="E1" s="713"/>
      <c r="F1" s="713"/>
      <c r="G1" s="713"/>
      <c r="H1" s="713"/>
      <c r="I1" s="713"/>
      <c r="J1" s="713"/>
      <c r="K1" s="713"/>
      <c r="L1" s="713"/>
      <c r="M1" s="713"/>
      <c r="N1" s="713"/>
      <c r="O1" s="713"/>
      <c r="P1" s="713"/>
      <c r="Q1" s="713"/>
    </row>
    <row r="2" spans="2:17" ht="25.95" customHeight="1" x14ac:dyDescent="0.3">
      <c r="B2" s="713" t="s">
        <v>614</v>
      </c>
      <c r="C2" s="713"/>
      <c r="D2" s="713"/>
      <c r="E2" s="713"/>
      <c r="F2" s="713"/>
      <c r="G2" s="713"/>
      <c r="H2" s="713"/>
      <c r="I2" s="713"/>
      <c r="J2" s="713"/>
      <c r="K2" s="713"/>
      <c r="L2" s="713"/>
      <c r="M2" s="713"/>
      <c r="N2" s="713"/>
      <c r="O2" s="713"/>
      <c r="P2" s="713"/>
      <c r="Q2" s="713"/>
    </row>
    <row r="3" spans="2:17" ht="19.95" customHeight="1" thickBot="1" x14ac:dyDescent="0.35">
      <c r="B3" s="584" t="s">
        <v>949</v>
      </c>
      <c r="C3" s="718" t="s">
        <v>900</v>
      </c>
      <c r="D3" s="718"/>
      <c r="E3" s="718"/>
      <c r="F3" s="718"/>
      <c r="G3" s="718"/>
      <c r="H3" s="718"/>
      <c r="I3" s="718"/>
      <c r="J3" s="718"/>
      <c r="K3" s="718"/>
      <c r="L3" s="718"/>
      <c r="M3" s="718"/>
      <c r="N3" s="718"/>
      <c r="O3" s="718"/>
      <c r="P3" s="718"/>
      <c r="Q3" s="718"/>
    </row>
    <row r="4" spans="2:17" ht="22.95" customHeight="1" x14ac:dyDescent="0.3">
      <c r="B4" s="714" t="s">
        <v>573</v>
      </c>
      <c r="C4" s="716" t="s">
        <v>574</v>
      </c>
      <c r="D4" s="716" t="s">
        <v>1140</v>
      </c>
      <c r="E4" s="716" t="s">
        <v>1141</v>
      </c>
      <c r="F4" s="714" t="s">
        <v>518</v>
      </c>
      <c r="G4" s="714" t="s">
        <v>509</v>
      </c>
      <c r="H4" s="716" t="s">
        <v>798</v>
      </c>
      <c r="I4" s="719"/>
      <c r="J4" s="719"/>
      <c r="K4" s="719"/>
      <c r="L4" s="719"/>
      <c r="M4" s="720"/>
      <c r="N4" s="714" t="s">
        <v>925</v>
      </c>
      <c r="O4" s="714" t="s">
        <v>328</v>
      </c>
      <c r="P4" s="714" t="s">
        <v>604</v>
      </c>
      <c r="Q4" s="714" t="s">
        <v>926</v>
      </c>
    </row>
    <row r="5" spans="2:17" ht="14.4" customHeight="1" thickBot="1" x14ac:dyDescent="0.35">
      <c r="B5" s="715"/>
      <c r="C5" s="717"/>
      <c r="D5" s="717"/>
      <c r="E5" s="717"/>
      <c r="F5" s="715"/>
      <c r="G5" s="715"/>
      <c r="H5" s="721"/>
      <c r="I5" s="722"/>
      <c r="J5" s="722"/>
      <c r="K5" s="722"/>
      <c r="L5" s="722"/>
      <c r="M5" s="723"/>
      <c r="N5" s="715"/>
      <c r="O5" s="715"/>
      <c r="P5" s="715"/>
      <c r="Q5" s="715"/>
    </row>
    <row r="6" spans="2:17" ht="36" customHeight="1" thickBot="1" x14ac:dyDescent="0.35">
      <c r="B6" s="715"/>
      <c r="C6" s="717"/>
      <c r="D6" s="717"/>
      <c r="E6" s="717"/>
      <c r="F6" s="715"/>
      <c r="G6" s="715"/>
      <c r="H6" s="582" t="s">
        <v>521</v>
      </c>
      <c r="I6" s="582" t="s">
        <v>520</v>
      </c>
      <c r="J6" s="582" t="s">
        <v>521</v>
      </c>
      <c r="K6" s="582" t="s">
        <v>520</v>
      </c>
      <c r="L6" s="582" t="s">
        <v>403</v>
      </c>
      <c r="M6" s="582" t="s">
        <v>395</v>
      </c>
      <c r="N6" s="715"/>
      <c r="O6" s="724"/>
      <c r="P6" s="725"/>
      <c r="Q6" s="715"/>
    </row>
    <row r="7" spans="2:17" x14ac:dyDescent="0.3">
      <c r="B7" s="393">
        <v>51</v>
      </c>
      <c r="C7" s="389" t="s">
        <v>605</v>
      </c>
      <c r="D7" s="390">
        <f>SUM(D8:D19)</f>
        <v>1023387.2</v>
      </c>
      <c r="E7" s="789"/>
      <c r="F7" s="390">
        <f>SUM(F8:F19)</f>
        <v>1023387.2</v>
      </c>
      <c r="G7" s="390">
        <f>SUM(G8:G19)</f>
        <v>652205.82999999996</v>
      </c>
      <c r="H7" s="396"/>
      <c r="I7" s="396"/>
      <c r="J7" s="396"/>
      <c r="K7" s="396"/>
      <c r="L7" s="396"/>
      <c r="M7" s="396"/>
      <c r="N7" s="390">
        <f>SUM(N8:N19)</f>
        <v>1023387.2</v>
      </c>
      <c r="O7" s="390">
        <f t="shared" ref="O7:Q7" si="0">SUM(O8:O19)</f>
        <v>0</v>
      </c>
      <c r="P7" s="390">
        <f t="shared" si="0"/>
        <v>0</v>
      </c>
      <c r="Q7" s="390">
        <f t="shared" si="0"/>
        <v>0</v>
      </c>
    </row>
    <row r="8" spans="2:17" x14ac:dyDescent="0.3">
      <c r="B8" s="386" t="s">
        <v>41</v>
      </c>
      <c r="C8" s="372" t="s">
        <v>42</v>
      </c>
      <c r="D8" s="374">
        <v>563052</v>
      </c>
      <c r="E8" s="374">
        <v>-22632</v>
      </c>
      <c r="F8" s="374">
        <f>+D8+E8</f>
        <v>540420</v>
      </c>
      <c r="G8" s="374">
        <v>322516.33</v>
      </c>
      <c r="H8" s="376"/>
      <c r="I8" s="376"/>
      <c r="J8" s="376"/>
      <c r="K8" s="376"/>
      <c r="L8" s="376"/>
      <c r="M8" s="399"/>
      <c r="N8" s="401">
        <f t="shared" ref="N8:N19" si="1">+F8+I8-K8+L8-M8</f>
        <v>540420</v>
      </c>
      <c r="O8" s="400"/>
      <c r="P8" s="376"/>
      <c r="Q8" s="376"/>
    </row>
    <row r="9" spans="2:17" x14ac:dyDescent="0.3">
      <c r="B9" s="386" t="s">
        <v>57</v>
      </c>
      <c r="C9" s="372" t="s">
        <v>606</v>
      </c>
      <c r="D9" s="374">
        <v>48587</v>
      </c>
      <c r="E9" s="374">
        <v>9056</v>
      </c>
      <c r="F9" s="374">
        <f t="shared" ref="F9:F56" si="2">+D9+E9</f>
        <v>57643</v>
      </c>
      <c r="G9" s="374">
        <v>38594.200000000004</v>
      </c>
      <c r="H9" s="376"/>
      <c r="I9" s="376"/>
      <c r="J9" s="376"/>
      <c r="K9" s="376"/>
      <c r="L9" s="376"/>
      <c r="M9" s="399"/>
      <c r="N9" s="401">
        <f t="shared" si="1"/>
        <v>57643</v>
      </c>
      <c r="O9" s="400"/>
      <c r="P9" s="376"/>
      <c r="Q9" s="376"/>
    </row>
    <row r="10" spans="2:17" x14ac:dyDescent="0.3">
      <c r="B10" s="386" t="s">
        <v>60</v>
      </c>
      <c r="C10" s="372" t="s">
        <v>607</v>
      </c>
      <c r="D10" s="374">
        <v>46672</v>
      </c>
      <c r="E10" s="374">
        <v>-12832</v>
      </c>
      <c r="F10" s="374">
        <f t="shared" si="2"/>
        <v>33840</v>
      </c>
      <c r="G10" s="374">
        <v>22606.86</v>
      </c>
      <c r="H10" s="376"/>
      <c r="I10" s="376"/>
      <c r="J10" s="376"/>
      <c r="K10" s="376"/>
      <c r="L10" s="376"/>
      <c r="M10" s="399"/>
      <c r="N10" s="401">
        <f t="shared" si="1"/>
        <v>33840</v>
      </c>
      <c r="O10" s="400"/>
      <c r="P10" s="376"/>
      <c r="Q10" s="376"/>
    </row>
    <row r="11" spans="2:17" x14ac:dyDescent="0.3">
      <c r="B11" s="385" t="s">
        <v>63</v>
      </c>
      <c r="C11" s="375" t="s">
        <v>64</v>
      </c>
      <c r="D11" s="374">
        <v>44280</v>
      </c>
      <c r="E11" s="374">
        <v>0</v>
      </c>
      <c r="F11" s="374">
        <f t="shared" si="2"/>
        <v>44280</v>
      </c>
      <c r="G11" s="374">
        <v>27818</v>
      </c>
      <c r="H11" s="376"/>
      <c r="I11" s="376"/>
      <c r="J11" s="376"/>
      <c r="K11" s="376"/>
      <c r="L11" s="376"/>
      <c r="M11" s="399"/>
      <c r="N11" s="401">
        <f t="shared" si="1"/>
        <v>44280</v>
      </c>
      <c r="O11" s="400"/>
      <c r="P11" s="376"/>
      <c r="Q11" s="376"/>
    </row>
    <row r="12" spans="2:17" ht="31.2" x14ac:dyDescent="0.3">
      <c r="B12" s="385" t="s">
        <v>66</v>
      </c>
      <c r="C12" s="375" t="s">
        <v>67</v>
      </c>
      <c r="D12" s="374">
        <v>17020</v>
      </c>
      <c r="E12" s="374">
        <v>0</v>
      </c>
      <c r="F12" s="374">
        <f t="shared" si="2"/>
        <v>17020</v>
      </c>
      <c r="G12" s="374">
        <v>14999.300000000001</v>
      </c>
      <c r="H12" s="376"/>
      <c r="I12" s="376"/>
      <c r="J12" s="376"/>
      <c r="K12" s="376"/>
      <c r="L12" s="376"/>
      <c r="M12" s="399"/>
      <c r="N12" s="401">
        <f t="shared" si="1"/>
        <v>17020</v>
      </c>
      <c r="O12" s="400"/>
      <c r="P12" s="376"/>
      <c r="Q12" s="376"/>
    </row>
    <row r="13" spans="2:17" x14ac:dyDescent="0.3">
      <c r="B13" s="385" t="s">
        <v>69</v>
      </c>
      <c r="C13" s="375" t="s">
        <v>70</v>
      </c>
      <c r="D13" s="374">
        <v>1116</v>
      </c>
      <c r="E13" s="374">
        <v>0</v>
      </c>
      <c r="F13" s="374">
        <f t="shared" si="2"/>
        <v>1116</v>
      </c>
      <c r="G13" s="374">
        <v>0</v>
      </c>
      <c r="H13" s="376"/>
      <c r="I13" s="376"/>
      <c r="J13" s="376"/>
      <c r="K13" s="376"/>
      <c r="L13" s="376"/>
      <c r="M13" s="399"/>
      <c r="N13" s="401">
        <f t="shared" si="1"/>
        <v>1116</v>
      </c>
      <c r="O13" s="400"/>
      <c r="P13" s="376"/>
      <c r="Q13" s="376"/>
    </row>
    <row r="14" spans="2:17" x14ac:dyDescent="0.3">
      <c r="B14" s="385" t="s">
        <v>72</v>
      </c>
      <c r="C14" s="375" t="s">
        <v>73</v>
      </c>
      <c r="D14" s="374">
        <v>151176</v>
      </c>
      <c r="E14" s="374">
        <v>120</v>
      </c>
      <c r="F14" s="374">
        <f t="shared" si="2"/>
        <v>151296</v>
      </c>
      <c r="G14" s="374">
        <v>115171.07</v>
      </c>
      <c r="H14" s="376"/>
      <c r="I14" s="376"/>
      <c r="J14" s="376"/>
      <c r="K14" s="376"/>
      <c r="L14" s="376"/>
      <c r="M14" s="399"/>
      <c r="N14" s="401">
        <f t="shared" si="1"/>
        <v>151296</v>
      </c>
      <c r="O14" s="400"/>
      <c r="P14" s="376"/>
      <c r="Q14" s="376"/>
    </row>
    <row r="15" spans="2:17" x14ac:dyDescent="0.3">
      <c r="B15" s="385" t="s">
        <v>75</v>
      </c>
      <c r="C15" s="375" t="s">
        <v>76</v>
      </c>
      <c r="D15" s="374">
        <v>5000</v>
      </c>
      <c r="E15" s="374">
        <v>0</v>
      </c>
      <c r="F15" s="374">
        <f t="shared" si="2"/>
        <v>5000</v>
      </c>
      <c r="G15" s="374">
        <v>1344</v>
      </c>
      <c r="H15" s="376"/>
      <c r="I15" s="376"/>
      <c r="J15" s="376"/>
      <c r="K15" s="376"/>
      <c r="L15" s="376"/>
      <c r="M15" s="399"/>
      <c r="N15" s="401">
        <f t="shared" si="1"/>
        <v>5000</v>
      </c>
      <c r="O15" s="400"/>
      <c r="P15" s="376"/>
      <c r="Q15" s="376"/>
    </row>
    <row r="16" spans="2:17" x14ac:dyDescent="0.3">
      <c r="B16" s="385" t="s">
        <v>78</v>
      </c>
      <c r="C16" s="375" t="s">
        <v>79</v>
      </c>
      <c r="D16" s="374">
        <v>19992</v>
      </c>
      <c r="E16" s="374">
        <v>0</v>
      </c>
      <c r="F16" s="374">
        <f t="shared" si="2"/>
        <v>19992</v>
      </c>
      <c r="G16" s="374">
        <v>18686.34</v>
      </c>
      <c r="H16" s="376"/>
      <c r="I16" s="376"/>
      <c r="J16" s="376"/>
      <c r="K16" s="376"/>
      <c r="L16" s="376"/>
      <c r="M16" s="399"/>
      <c r="N16" s="401">
        <f t="shared" si="1"/>
        <v>19992</v>
      </c>
      <c r="O16" s="400"/>
      <c r="P16" s="376"/>
      <c r="Q16" s="376"/>
    </row>
    <row r="17" spans="2:17" x14ac:dyDescent="0.3">
      <c r="B17" s="385" t="s">
        <v>81</v>
      </c>
      <c r="C17" s="375" t="s">
        <v>82</v>
      </c>
      <c r="D17" s="374">
        <v>67924.63</v>
      </c>
      <c r="E17" s="374">
        <v>12660.28</v>
      </c>
      <c r="F17" s="374">
        <f t="shared" si="2"/>
        <v>80584.91</v>
      </c>
      <c r="G17" s="374">
        <v>53324.12</v>
      </c>
      <c r="H17" s="376"/>
      <c r="I17" s="376"/>
      <c r="J17" s="376"/>
      <c r="K17" s="376"/>
      <c r="L17" s="376"/>
      <c r="M17" s="399"/>
      <c r="N17" s="401">
        <f t="shared" si="1"/>
        <v>80584.91</v>
      </c>
      <c r="O17" s="400"/>
      <c r="P17" s="376"/>
      <c r="Q17" s="376"/>
    </row>
    <row r="18" spans="2:17" x14ac:dyDescent="0.3">
      <c r="B18" s="385" t="s">
        <v>84</v>
      </c>
      <c r="C18" s="375" t="s">
        <v>85</v>
      </c>
      <c r="D18" s="374">
        <v>48567.57</v>
      </c>
      <c r="E18" s="374">
        <v>9052.380000000001</v>
      </c>
      <c r="F18" s="374">
        <f t="shared" si="2"/>
        <v>57619.95</v>
      </c>
      <c r="G18" s="374">
        <v>35174.17</v>
      </c>
      <c r="H18" s="376"/>
      <c r="I18" s="376"/>
      <c r="J18" s="376"/>
      <c r="K18" s="376"/>
      <c r="L18" s="398"/>
      <c r="M18" s="399"/>
      <c r="N18" s="401">
        <f t="shared" si="1"/>
        <v>57619.95</v>
      </c>
      <c r="O18" s="400"/>
      <c r="P18" s="376"/>
      <c r="Q18" s="376"/>
    </row>
    <row r="19" spans="2:17" ht="17.100000000000001" customHeight="1" x14ac:dyDescent="0.3">
      <c r="B19" s="385" t="s">
        <v>87</v>
      </c>
      <c r="C19" s="375" t="s">
        <v>608</v>
      </c>
      <c r="D19" s="374">
        <v>10000</v>
      </c>
      <c r="E19" s="374">
        <v>4575.34</v>
      </c>
      <c r="F19" s="374">
        <f t="shared" si="2"/>
        <v>14575.34</v>
      </c>
      <c r="G19" s="374">
        <v>1971.44</v>
      </c>
      <c r="H19" s="376"/>
      <c r="I19" s="376"/>
      <c r="J19" s="376"/>
      <c r="K19" s="376"/>
      <c r="L19" s="376"/>
      <c r="M19" s="399"/>
      <c r="N19" s="401">
        <f t="shared" si="1"/>
        <v>14575.34</v>
      </c>
      <c r="O19" s="400"/>
      <c r="P19" s="376"/>
      <c r="Q19" s="376"/>
    </row>
    <row r="20" spans="2:17" ht="17.100000000000001" customHeight="1" x14ac:dyDescent="0.3">
      <c r="B20" s="393">
        <v>53</v>
      </c>
      <c r="C20" s="389" t="s">
        <v>575</v>
      </c>
      <c r="D20" s="391">
        <f>SUM(D21:D52)</f>
        <v>217578.83000000005</v>
      </c>
      <c r="E20" s="391"/>
      <c r="F20" s="391">
        <f>SUM(F21:F52)</f>
        <v>226954.36999999997</v>
      </c>
      <c r="G20" s="391">
        <f>SUM(G21:G52)</f>
        <v>96914.540000000008</v>
      </c>
      <c r="H20" s="396"/>
      <c r="I20" s="396"/>
      <c r="J20" s="396"/>
      <c r="K20" s="396"/>
      <c r="L20" s="396"/>
      <c r="M20" s="396"/>
      <c r="N20" s="391">
        <f>SUM(N21:N52)</f>
        <v>226954.36999999997</v>
      </c>
      <c r="O20" s="391">
        <f t="shared" ref="O20:Q20" si="3">SUM(O21:O52)</f>
        <v>0</v>
      </c>
      <c r="P20" s="391">
        <f t="shared" si="3"/>
        <v>55321.573333333341</v>
      </c>
      <c r="Q20" s="391">
        <f t="shared" si="3"/>
        <v>285</v>
      </c>
    </row>
    <row r="21" spans="2:17" x14ac:dyDescent="0.3">
      <c r="B21" s="386" t="s">
        <v>129</v>
      </c>
      <c r="C21" s="372" t="s">
        <v>130</v>
      </c>
      <c r="D21" s="374">
        <v>600</v>
      </c>
      <c r="E21" s="374">
        <v>0</v>
      </c>
      <c r="F21" s="374">
        <f t="shared" si="2"/>
        <v>600</v>
      </c>
      <c r="G21" s="374">
        <v>370.22</v>
      </c>
      <c r="H21" s="376"/>
      <c r="I21" s="376"/>
      <c r="J21" s="376"/>
      <c r="K21" s="376"/>
      <c r="L21" s="376"/>
      <c r="M21" s="376"/>
      <c r="N21" s="401">
        <f t="shared" ref="N21:N63" si="4">+F21+I21-K21+L21-M21</f>
        <v>600</v>
      </c>
      <c r="O21" s="397"/>
      <c r="P21" s="376"/>
      <c r="Q21" s="376"/>
    </row>
    <row r="22" spans="2:17" x14ac:dyDescent="0.3">
      <c r="B22" s="386" t="s">
        <v>133</v>
      </c>
      <c r="C22" s="372" t="s">
        <v>134</v>
      </c>
      <c r="D22" s="374">
        <v>3560</v>
      </c>
      <c r="E22" s="374">
        <v>800</v>
      </c>
      <c r="F22" s="374">
        <f t="shared" si="2"/>
        <v>4360</v>
      </c>
      <c r="G22" s="374">
        <v>3916.65</v>
      </c>
      <c r="H22" s="376"/>
      <c r="I22" s="376"/>
      <c r="J22" s="376"/>
      <c r="K22" s="376"/>
      <c r="L22" s="376"/>
      <c r="M22" s="376"/>
      <c r="N22" s="401">
        <f t="shared" si="4"/>
        <v>4360</v>
      </c>
      <c r="O22" s="397"/>
      <c r="P22" s="376"/>
      <c r="Q22" s="376"/>
    </row>
    <row r="23" spans="2:17" x14ac:dyDescent="0.3">
      <c r="B23" s="385" t="s">
        <v>136</v>
      </c>
      <c r="C23" s="378" t="s">
        <v>137</v>
      </c>
      <c r="D23" s="374">
        <v>2840</v>
      </c>
      <c r="E23" s="374">
        <v>-50</v>
      </c>
      <c r="F23" s="374">
        <f t="shared" si="2"/>
        <v>2790</v>
      </c>
      <c r="G23" s="374">
        <v>2297.42</v>
      </c>
      <c r="H23" s="376"/>
      <c r="I23" s="376"/>
      <c r="J23" s="376"/>
      <c r="K23" s="376"/>
      <c r="L23" s="376"/>
      <c r="M23" s="376"/>
      <c r="N23" s="401">
        <f t="shared" si="4"/>
        <v>2790</v>
      </c>
      <c r="O23" s="397"/>
      <c r="P23" s="376"/>
      <c r="Q23" s="376"/>
    </row>
    <row r="24" spans="2:17" x14ac:dyDescent="0.3">
      <c r="B24" s="385" t="s">
        <v>528</v>
      </c>
      <c r="C24" s="378" t="s">
        <v>609</v>
      </c>
      <c r="D24" s="374">
        <v>0</v>
      </c>
      <c r="E24" s="374">
        <v>20</v>
      </c>
      <c r="F24" s="374">
        <f t="shared" si="2"/>
        <v>20</v>
      </c>
      <c r="G24" s="374">
        <v>4.88</v>
      </c>
      <c r="H24" s="376"/>
      <c r="I24" s="376"/>
      <c r="J24" s="376"/>
      <c r="K24" s="376"/>
      <c r="L24" s="376"/>
      <c r="M24" s="376"/>
      <c r="N24" s="401">
        <f t="shared" si="4"/>
        <v>20</v>
      </c>
      <c r="O24" s="397"/>
      <c r="P24" s="376"/>
      <c r="Q24" s="376"/>
    </row>
    <row r="25" spans="2:17" ht="51" customHeight="1" x14ac:dyDescent="0.3">
      <c r="B25" s="385" t="s">
        <v>169</v>
      </c>
      <c r="C25" s="378" t="s">
        <v>610</v>
      </c>
      <c r="D25" s="374">
        <v>500</v>
      </c>
      <c r="E25" s="790">
        <v>0</v>
      </c>
      <c r="F25" s="374">
        <f t="shared" si="2"/>
        <v>500</v>
      </c>
      <c r="G25" s="374">
        <v>0</v>
      </c>
      <c r="H25" s="376"/>
      <c r="I25" s="376"/>
      <c r="L25" s="376"/>
      <c r="M25" s="376"/>
      <c r="N25" s="401">
        <f t="shared" si="4"/>
        <v>500</v>
      </c>
      <c r="O25" s="397"/>
      <c r="P25" s="376"/>
      <c r="Q25" s="376"/>
    </row>
    <row r="26" spans="2:17" x14ac:dyDescent="0.3">
      <c r="B26" s="386" t="s">
        <v>571</v>
      </c>
      <c r="C26" s="379" t="s">
        <v>922</v>
      </c>
      <c r="D26" s="374">
        <v>0</v>
      </c>
      <c r="E26" s="374">
        <v>14915</v>
      </c>
      <c r="F26" s="374">
        <f t="shared" si="2"/>
        <v>14915</v>
      </c>
      <c r="G26" s="374">
        <v>0</v>
      </c>
      <c r="H26" s="376"/>
      <c r="J26" s="376"/>
      <c r="K26" s="376"/>
      <c r="L26" s="376"/>
      <c r="M26" s="376"/>
      <c r="N26" s="401">
        <f t="shared" si="4"/>
        <v>14915</v>
      </c>
      <c r="O26" s="397"/>
      <c r="P26" s="376"/>
      <c r="Q26" s="376"/>
    </row>
    <row r="27" spans="2:17" ht="14.4" customHeight="1" x14ac:dyDescent="0.3">
      <c r="B27" s="386" t="s">
        <v>140</v>
      </c>
      <c r="C27" s="379" t="s">
        <v>141</v>
      </c>
      <c r="D27" s="374">
        <v>100</v>
      </c>
      <c r="E27" s="374">
        <v>-70</v>
      </c>
      <c r="F27" s="374">
        <f t="shared" si="2"/>
        <v>30</v>
      </c>
      <c r="G27" s="374">
        <v>0</v>
      </c>
      <c r="H27" s="376"/>
      <c r="I27" s="376"/>
      <c r="J27" s="376"/>
      <c r="K27" s="376"/>
      <c r="L27" s="376"/>
      <c r="M27" s="376"/>
      <c r="N27" s="401">
        <f t="shared" si="4"/>
        <v>30</v>
      </c>
      <c r="O27" s="397"/>
      <c r="P27" s="376"/>
      <c r="Q27" s="376"/>
    </row>
    <row r="28" spans="2:17" ht="31.2" customHeight="1" x14ac:dyDescent="0.3">
      <c r="B28" s="386" t="s">
        <v>216</v>
      </c>
      <c r="C28" s="375" t="s">
        <v>217</v>
      </c>
      <c r="D28" s="374">
        <v>2727.5</v>
      </c>
      <c r="E28" s="374">
        <v>-565.83000000000004</v>
      </c>
      <c r="F28" s="374">
        <f t="shared" si="2"/>
        <v>2161.67</v>
      </c>
      <c r="G28" s="374">
        <v>812.27</v>
      </c>
      <c r="H28" s="376"/>
      <c r="I28" s="376"/>
      <c r="J28" s="376"/>
      <c r="L28" s="376"/>
      <c r="M28" s="376"/>
      <c r="N28" s="401">
        <f t="shared" si="4"/>
        <v>2161.67</v>
      </c>
      <c r="O28" s="397"/>
      <c r="P28" s="376">
        <v>647</v>
      </c>
      <c r="Q28" s="376"/>
    </row>
    <row r="29" spans="2:17" x14ac:dyDescent="0.3">
      <c r="B29" s="386" t="s">
        <v>173</v>
      </c>
      <c r="C29" s="375" t="s">
        <v>174</v>
      </c>
      <c r="D29" s="371">
        <v>5996.92</v>
      </c>
      <c r="E29" s="791">
        <v>4761.87</v>
      </c>
      <c r="F29" s="374">
        <f t="shared" si="2"/>
        <v>10758.79</v>
      </c>
      <c r="G29" s="383">
        <v>5880.02</v>
      </c>
      <c r="H29" s="376"/>
      <c r="I29" s="376"/>
      <c r="J29" s="376"/>
      <c r="K29" s="376"/>
      <c r="L29" s="376"/>
      <c r="M29" s="376"/>
      <c r="N29" s="401">
        <f t="shared" si="4"/>
        <v>10758.79</v>
      </c>
      <c r="O29" s="397"/>
      <c r="P29" s="376">
        <v>11993.86</v>
      </c>
      <c r="Q29" s="376"/>
    </row>
    <row r="30" spans="2:17" x14ac:dyDescent="0.3">
      <c r="B30" s="386" t="s">
        <v>93</v>
      </c>
      <c r="C30" s="375" t="s">
        <v>94</v>
      </c>
      <c r="D30" s="374">
        <v>500</v>
      </c>
      <c r="E30" s="374">
        <v>-500</v>
      </c>
      <c r="F30" s="374">
        <f t="shared" si="2"/>
        <v>0</v>
      </c>
      <c r="G30" s="374">
        <v>0</v>
      </c>
      <c r="H30" s="376"/>
      <c r="I30" s="376"/>
      <c r="J30" s="376"/>
      <c r="K30" s="376"/>
      <c r="L30" s="376"/>
      <c r="M30" s="376"/>
      <c r="N30" s="401">
        <f t="shared" si="4"/>
        <v>0</v>
      </c>
      <c r="O30" s="397"/>
      <c r="P30" s="376"/>
      <c r="Q30" s="376"/>
    </row>
    <row r="31" spans="2:17" x14ac:dyDescent="0.3">
      <c r="B31" s="386" t="s">
        <v>97</v>
      </c>
      <c r="C31" s="375" t="s">
        <v>98</v>
      </c>
      <c r="D31" s="374">
        <v>5000</v>
      </c>
      <c r="E31" s="374">
        <v>-2177.34</v>
      </c>
      <c r="F31" s="374">
        <f t="shared" si="2"/>
        <v>2822.66</v>
      </c>
      <c r="G31" s="374">
        <v>2822.66</v>
      </c>
      <c r="H31" s="376"/>
      <c r="I31" s="376"/>
      <c r="J31" s="376"/>
      <c r="L31" s="376"/>
      <c r="M31" s="376"/>
      <c r="N31" s="401">
        <f t="shared" si="4"/>
        <v>2822.66</v>
      </c>
      <c r="O31" s="397"/>
      <c r="P31" s="376"/>
      <c r="Q31" s="376"/>
    </row>
    <row r="32" spans="2:17" x14ac:dyDescent="0.3">
      <c r="B32" s="386" t="s">
        <v>100</v>
      </c>
      <c r="C32" s="375" t="s">
        <v>101</v>
      </c>
      <c r="D32" s="374">
        <v>13500</v>
      </c>
      <c r="E32" s="374">
        <v>-50</v>
      </c>
      <c r="F32" s="374">
        <f t="shared" si="2"/>
        <v>13450</v>
      </c>
      <c r="G32" s="374">
        <v>6560</v>
      </c>
      <c r="H32" s="376"/>
      <c r="I32" s="376"/>
      <c r="J32" s="376"/>
      <c r="K32" s="376"/>
      <c r="L32" s="376"/>
      <c r="M32" s="376"/>
      <c r="N32" s="401">
        <f t="shared" si="4"/>
        <v>13450</v>
      </c>
      <c r="O32" s="397"/>
      <c r="P32" s="376"/>
      <c r="Q32" s="376"/>
    </row>
    <row r="33" spans="2:18" x14ac:dyDescent="0.3">
      <c r="B33" s="386" t="s">
        <v>103</v>
      </c>
      <c r="C33" s="375" t="s">
        <v>104</v>
      </c>
      <c r="D33" s="374">
        <v>6500</v>
      </c>
      <c r="E33" s="374">
        <v>0</v>
      </c>
      <c r="F33" s="374">
        <f t="shared" si="2"/>
        <v>6500</v>
      </c>
      <c r="G33" s="374">
        <v>5516.7</v>
      </c>
      <c r="H33" s="376"/>
      <c r="I33" s="376"/>
      <c r="J33" s="376"/>
      <c r="K33" s="376"/>
      <c r="L33" s="376"/>
      <c r="M33" s="376"/>
      <c r="N33" s="401">
        <f t="shared" si="4"/>
        <v>6500</v>
      </c>
      <c r="O33" s="397"/>
      <c r="P33" s="376"/>
      <c r="Q33" s="376"/>
    </row>
    <row r="34" spans="2:18" ht="33" customHeight="1" x14ac:dyDescent="0.3">
      <c r="B34" s="386" t="s">
        <v>1052</v>
      </c>
      <c r="C34" s="375" t="s">
        <v>1055</v>
      </c>
      <c r="D34" s="374">
        <v>0</v>
      </c>
      <c r="E34" s="374">
        <v>50</v>
      </c>
      <c r="F34" s="374">
        <f t="shared" si="2"/>
        <v>50</v>
      </c>
      <c r="G34" s="374">
        <v>38</v>
      </c>
      <c r="H34" s="376"/>
      <c r="I34" s="571"/>
      <c r="J34" s="376"/>
      <c r="K34" s="571"/>
      <c r="L34" s="376"/>
      <c r="M34" s="376"/>
      <c r="N34" s="401">
        <f t="shared" si="4"/>
        <v>50</v>
      </c>
      <c r="O34" s="397"/>
      <c r="P34" s="376"/>
      <c r="Q34" s="376"/>
    </row>
    <row r="35" spans="2:18" ht="31.2" x14ac:dyDescent="0.3">
      <c r="B35" s="386" t="s">
        <v>182</v>
      </c>
      <c r="C35" s="375" t="s">
        <v>183</v>
      </c>
      <c r="D35" s="374">
        <v>1530</v>
      </c>
      <c r="E35" s="374">
        <v>2251.13</v>
      </c>
      <c r="F35" s="374">
        <f t="shared" si="2"/>
        <v>3781.13</v>
      </c>
      <c r="G35" s="374">
        <v>1329.34</v>
      </c>
      <c r="H35" s="376"/>
      <c r="J35" s="376"/>
      <c r="L35" s="376"/>
      <c r="M35" s="376"/>
      <c r="N35" s="401">
        <f t="shared" si="4"/>
        <v>3781.13</v>
      </c>
      <c r="O35" s="397"/>
      <c r="P35" s="376"/>
      <c r="Q35" s="376"/>
    </row>
    <row r="36" spans="2:18" x14ac:dyDescent="0.3">
      <c r="B36" s="386" t="s">
        <v>164</v>
      </c>
      <c r="C36" s="375" t="s">
        <v>165</v>
      </c>
      <c r="D36" s="374">
        <v>34358.090000000004</v>
      </c>
      <c r="E36" s="374">
        <v>-12895.33</v>
      </c>
      <c r="F36" s="374">
        <f t="shared" si="2"/>
        <v>21462.760000000002</v>
      </c>
      <c r="G36" s="374">
        <v>8364.77</v>
      </c>
      <c r="H36" s="376"/>
      <c r="I36" s="376"/>
      <c r="J36" s="376"/>
      <c r="L36" s="398"/>
      <c r="M36" s="398"/>
      <c r="N36" s="401">
        <f t="shared" si="4"/>
        <v>21462.760000000002</v>
      </c>
      <c r="O36" s="397"/>
      <c r="P36" s="376">
        <f>28459.38-647</f>
        <v>27812.38</v>
      </c>
      <c r="Q36" s="376"/>
      <c r="R36" s="531"/>
    </row>
    <row r="37" spans="2:18" x14ac:dyDescent="0.3">
      <c r="B37" s="388" t="s">
        <v>196</v>
      </c>
      <c r="C37" s="380" t="s">
        <v>197</v>
      </c>
      <c r="D37" s="374">
        <v>22035.89</v>
      </c>
      <c r="E37" s="374">
        <v>-1372.84</v>
      </c>
      <c r="F37" s="374">
        <f t="shared" si="2"/>
        <v>20663.05</v>
      </c>
      <c r="G37" s="374">
        <v>0</v>
      </c>
      <c r="H37" s="376"/>
      <c r="I37" s="376"/>
      <c r="J37" s="376"/>
      <c r="K37" s="376"/>
      <c r="L37" s="376"/>
      <c r="M37" s="376"/>
      <c r="N37" s="401">
        <f t="shared" si="4"/>
        <v>20663.05</v>
      </c>
      <c r="O37" s="397"/>
      <c r="P37" s="376"/>
      <c r="Q37" s="376"/>
    </row>
    <row r="38" spans="2:18" x14ac:dyDescent="0.3">
      <c r="B38" s="386" t="s">
        <v>238</v>
      </c>
      <c r="C38" s="379" t="s">
        <v>239</v>
      </c>
      <c r="D38" s="374">
        <v>1920</v>
      </c>
      <c r="E38" s="374">
        <v>-645.33000000000004</v>
      </c>
      <c r="F38" s="374">
        <f t="shared" si="2"/>
        <v>1274.67</v>
      </c>
      <c r="G38" s="374">
        <v>1274.67</v>
      </c>
      <c r="H38" s="376"/>
      <c r="I38" s="376"/>
      <c r="J38" s="376"/>
      <c r="L38" s="376"/>
      <c r="M38" s="376"/>
      <c r="N38" s="401">
        <f t="shared" si="4"/>
        <v>1274.67</v>
      </c>
      <c r="O38" s="397"/>
      <c r="P38" s="376"/>
      <c r="Q38" s="376"/>
    </row>
    <row r="39" spans="2:18" x14ac:dyDescent="0.3">
      <c r="B39" s="386" t="s">
        <v>106</v>
      </c>
      <c r="C39" s="379" t="s">
        <v>107</v>
      </c>
      <c r="D39" s="374">
        <v>25000</v>
      </c>
      <c r="E39" s="374">
        <v>0</v>
      </c>
      <c r="F39" s="374">
        <f t="shared" si="2"/>
        <v>25000</v>
      </c>
      <c r="G39" s="374">
        <v>25000</v>
      </c>
      <c r="H39" s="376"/>
      <c r="I39" s="376"/>
      <c r="J39" s="376"/>
      <c r="K39" s="376"/>
      <c r="L39" s="376"/>
      <c r="M39" s="376"/>
      <c r="N39" s="401">
        <f t="shared" si="4"/>
        <v>25000</v>
      </c>
      <c r="O39" s="397"/>
      <c r="P39" s="376"/>
      <c r="Q39" s="376"/>
    </row>
    <row r="40" spans="2:18" x14ac:dyDescent="0.3">
      <c r="B40" s="386" t="s">
        <v>109</v>
      </c>
      <c r="C40" s="379" t="s">
        <v>110</v>
      </c>
      <c r="D40" s="374">
        <v>12000</v>
      </c>
      <c r="E40" s="374">
        <v>0</v>
      </c>
      <c r="F40" s="374">
        <f t="shared" si="2"/>
        <v>12000</v>
      </c>
      <c r="G40" s="374">
        <v>9803.33</v>
      </c>
      <c r="H40" s="376"/>
      <c r="I40" s="376"/>
      <c r="J40" s="376"/>
      <c r="K40" s="376"/>
      <c r="L40" s="376"/>
      <c r="M40" s="376"/>
      <c r="N40" s="401">
        <f t="shared" si="4"/>
        <v>12000</v>
      </c>
      <c r="O40" s="397"/>
      <c r="P40" s="376"/>
      <c r="Q40" s="376"/>
    </row>
    <row r="41" spans="2:18" x14ac:dyDescent="0.3">
      <c r="B41" s="386" t="s">
        <v>112</v>
      </c>
      <c r="C41" s="379" t="s">
        <v>113</v>
      </c>
      <c r="D41" s="374">
        <v>27381.71</v>
      </c>
      <c r="E41" s="374">
        <v>-17797.29</v>
      </c>
      <c r="F41" s="374">
        <f t="shared" si="2"/>
        <v>9584.4199999999983</v>
      </c>
      <c r="G41" s="374">
        <v>0</v>
      </c>
      <c r="H41" s="376"/>
      <c r="J41" s="376"/>
      <c r="K41" s="376"/>
      <c r="L41" s="376"/>
      <c r="M41" s="376"/>
      <c r="N41" s="401">
        <f t="shared" si="4"/>
        <v>9584.4199999999983</v>
      </c>
      <c r="O41" s="397"/>
      <c r="P41" s="376"/>
      <c r="Q41" s="376"/>
    </row>
    <row r="42" spans="2:18" ht="31.2" x14ac:dyDescent="0.3">
      <c r="B42" s="386" t="s">
        <v>226</v>
      </c>
      <c r="C42" s="379" t="s">
        <v>227</v>
      </c>
      <c r="D42" s="374">
        <v>21281.670000000002</v>
      </c>
      <c r="E42" s="374">
        <v>-865</v>
      </c>
      <c r="F42" s="374">
        <f t="shared" si="2"/>
        <v>20416.670000000002</v>
      </c>
      <c r="G42" s="374">
        <v>0</v>
      </c>
      <c r="H42" s="376"/>
      <c r="J42" s="376"/>
      <c r="K42" s="376"/>
      <c r="L42" s="376"/>
      <c r="M42" s="376"/>
      <c r="N42" s="401">
        <f t="shared" si="4"/>
        <v>20416.670000000002</v>
      </c>
      <c r="O42" s="397"/>
      <c r="P42" s="376">
        <v>14583.333333333336</v>
      </c>
      <c r="Q42" s="376"/>
    </row>
    <row r="43" spans="2:18" ht="31.2" x14ac:dyDescent="0.3">
      <c r="B43" s="386" t="s">
        <v>222</v>
      </c>
      <c r="C43" s="379" t="s">
        <v>223</v>
      </c>
      <c r="D43" s="374">
        <v>240</v>
      </c>
      <c r="E43" s="374">
        <v>45</v>
      </c>
      <c r="F43" s="374">
        <f t="shared" si="2"/>
        <v>285</v>
      </c>
      <c r="G43" s="374">
        <v>75</v>
      </c>
      <c r="H43" s="376"/>
      <c r="I43" s="376"/>
      <c r="J43" s="376"/>
      <c r="K43" s="376"/>
      <c r="L43" s="376"/>
      <c r="M43" s="376"/>
      <c r="N43" s="401">
        <f t="shared" si="4"/>
        <v>285</v>
      </c>
      <c r="O43" s="397"/>
      <c r="P43" s="376">
        <v>285</v>
      </c>
      <c r="Q43" s="376">
        <v>285</v>
      </c>
    </row>
    <row r="44" spans="2:18" ht="46.8" x14ac:dyDescent="0.3">
      <c r="B44" s="386" t="s">
        <v>153</v>
      </c>
      <c r="C44" s="375" t="s">
        <v>154</v>
      </c>
      <c r="D44" s="374">
        <v>28728.45</v>
      </c>
      <c r="E44" s="374">
        <v>-3175.06</v>
      </c>
      <c r="F44" s="374">
        <f t="shared" si="2"/>
        <v>25553.39</v>
      </c>
      <c r="G44" s="374">
        <v>0</v>
      </c>
      <c r="H44" s="376"/>
      <c r="I44" s="376"/>
      <c r="J44" s="376"/>
      <c r="K44" s="376"/>
      <c r="L44" s="376"/>
      <c r="M44" s="376"/>
      <c r="N44" s="401">
        <f t="shared" si="4"/>
        <v>25553.39</v>
      </c>
      <c r="O44" s="397"/>
      <c r="P44" s="376"/>
      <c r="Q44" s="376"/>
    </row>
    <row r="45" spans="2:18" x14ac:dyDescent="0.3">
      <c r="B45" s="386" t="s">
        <v>940</v>
      </c>
      <c r="C45" s="375" t="s">
        <v>941</v>
      </c>
      <c r="D45" s="374">
        <v>0</v>
      </c>
      <c r="E45" s="374">
        <v>3411</v>
      </c>
      <c r="F45" s="374">
        <f t="shared" si="2"/>
        <v>3411</v>
      </c>
      <c r="G45" s="374">
        <v>3406.86</v>
      </c>
      <c r="H45" s="376"/>
      <c r="I45" s="376"/>
      <c r="J45" s="376"/>
      <c r="K45" s="376"/>
      <c r="L45" s="376"/>
      <c r="M45" s="376"/>
      <c r="N45" s="401">
        <f t="shared" si="4"/>
        <v>3411</v>
      </c>
      <c r="O45" s="397"/>
      <c r="P45" s="376"/>
      <c r="Q45" s="376"/>
    </row>
    <row r="46" spans="2:18" x14ac:dyDescent="0.3">
      <c r="B46" s="386" t="s">
        <v>567</v>
      </c>
      <c r="C46" s="380" t="s">
        <v>923</v>
      </c>
      <c r="D46" s="374">
        <v>0</v>
      </c>
      <c r="E46" s="374">
        <v>1800</v>
      </c>
      <c r="F46" s="374">
        <f t="shared" si="2"/>
        <v>1800</v>
      </c>
      <c r="G46" s="374">
        <v>200</v>
      </c>
      <c r="H46" s="376"/>
      <c r="J46" s="376"/>
      <c r="K46" s="376"/>
      <c r="L46" s="376"/>
      <c r="M46" s="376"/>
      <c r="N46" s="401">
        <f t="shared" si="4"/>
        <v>1800</v>
      </c>
      <c r="O46" s="397"/>
      <c r="P46" s="376"/>
      <c r="Q46" s="376"/>
    </row>
    <row r="47" spans="2:18" x14ac:dyDescent="0.3">
      <c r="B47" s="386" t="s">
        <v>434</v>
      </c>
      <c r="C47" s="379" t="s">
        <v>924</v>
      </c>
      <c r="D47" s="374">
        <v>0</v>
      </c>
      <c r="E47" s="374">
        <v>1740.03</v>
      </c>
      <c r="F47" s="374">
        <f t="shared" si="2"/>
        <v>1740.03</v>
      </c>
      <c r="G47" s="374">
        <v>647.43000000000006</v>
      </c>
      <c r="H47" s="376"/>
      <c r="J47" s="376"/>
      <c r="K47" s="376"/>
      <c r="L47" s="376"/>
      <c r="M47" s="376"/>
      <c r="N47" s="401">
        <f t="shared" si="4"/>
        <v>1740.03</v>
      </c>
      <c r="O47" s="397"/>
      <c r="P47" s="376"/>
      <c r="Q47" s="376"/>
    </row>
    <row r="48" spans="2:18" ht="31.2" x14ac:dyDescent="0.3">
      <c r="B48" s="386" t="s">
        <v>265</v>
      </c>
      <c r="C48" s="379" t="s">
        <v>413</v>
      </c>
      <c r="D48" s="374">
        <v>0</v>
      </c>
      <c r="E48" s="374">
        <v>2565.08</v>
      </c>
      <c r="F48" s="374">
        <f t="shared" si="2"/>
        <v>2565.08</v>
      </c>
      <c r="G48" s="374">
        <v>2317.1</v>
      </c>
      <c r="H48" s="376"/>
      <c r="J48" s="376"/>
      <c r="K48" s="376"/>
      <c r="L48" s="376"/>
      <c r="M48" s="376"/>
      <c r="N48" s="401">
        <f t="shared" si="4"/>
        <v>2565.08</v>
      </c>
      <c r="O48" s="397"/>
      <c r="P48" s="376"/>
      <c r="Q48" s="376"/>
    </row>
    <row r="49" spans="2:17" ht="46.8" x14ac:dyDescent="0.3">
      <c r="B49" s="386" t="s">
        <v>304</v>
      </c>
      <c r="C49" s="381" t="s">
        <v>411</v>
      </c>
      <c r="D49" s="374">
        <v>0</v>
      </c>
      <c r="E49" s="374">
        <v>4286.45</v>
      </c>
      <c r="F49" s="374">
        <f t="shared" si="2"/>
        <v>4286.45</v>
      </c>
      <c r="G49" s="374">
        <v>4191.67</v>
      </c>
      <c r="H49" s="376"/>
      <c r="I49" s="376"/>
      <c r="J49" s="376"/>
      <c r="K49" s="376"/>
      <c r="L49" s="376"/>
      <c r="M49" s="376"/>
      <c r="N49" s="401">
        <f t="shared" si="4"/>
        <v>4286.45</v>
      </c>
      <c r="O49" s="397"/>
      <c r="P49" s="376"/>
      <c r="Q49" s="376"/>
    </row>
    <row r="50" spans="2:17" x14ac:dyDescent="0.3">
      <c r="B50" s="386" t="s">
        <v>212</v>
      </c>
      <c r="C50" s="381" t="s">
        <v>213</v>
      </c>
      <c r="D50" s="374">
        <v>938.6</v>
      </c>
      <c r="E50" s="791">
        <v>10156</v>
      </c>
      <c r="F50" s="374">
        <f t="shared" si="2"/>
        <v>11094.6</v>
      </c>
      <c r="G50" s="383">
        <v>9007.5499999999993</v>
      </c>
      <c r="H50" s="376"/>
      <c r="J50" s="376"/>
      <c r="K50" s="376"/>
      <c r="L50" s="398"/>
      <c r="M50" s="398"/>
      <c r="N50" s="401">
        <f t="shared" si="4"/>
        <v>11094.6</v>
      </c>
      <c r="O50" s="397"/>
      <c r="P50" s="376"/>
      <c r="Q50" s="376"/>
    </row>
    <row r="51" spans="2:17" x14ac:dyDescent="0.3">
      <c r="B51" s="386" t="s">
        <v>435</v>
      </c>
      <c r="C51" s="382" t="s">
        <v>416</v>
      </c>
      <c r="D51" s="374">
        <v>0</v>
      </c>
      <c r="E51" s="374">
        <v>3078</v>
      </c>
      <c r="F51" s="374">
        <f t="shared" si="2"/>
        <v>3078</v>
      </c>
      <c r="G51" s="374">
        <v>3078</v>
      </c>
      <c r="H51" s="376"/>
      <c r="I51" s="376"/>
      <c r="J51" s="376"/>
      <c r="K51" s="376"/>
      <c r="L51" s="376"/>
      <c r="M51" s="376"/>
      <c r="N51" s="401">
        <f t="shared" si="4"/>
        <v>3078</v>
      </c>
      <c r="O51" s="397"/>
      <c r="P51" s="376"/>
      <c r="Q51" s="376"/>
    </row>
    <row r="52" spans="2:17" x14ac:dyDescent="0.3">
      <c r="B52" s="386" t="s">
        <v>210</v>
      </c>
      <c r="C52" s="382" t="s">
        <v>211</v>
      </c>
      <c r="D52" s="374">
        <v>340</v>
      </c>
      <c r="E52" s="791">
        <v>-340</v>
      </c>
      <c r="F52" s="374">
        <f t="shared" si="2"/>
        <v>0</v>
      </c>
      <c r="G52" s="383">
        <v>0</v>
      </c>
      <c r="H52" s="376"/>
      <c r="I52" s="376"/>
      <c r="J52" s="376"/>
      <c r="K52" s="376"/>
      <c r="L52" s="376"/>
      <c r="M52" s="376"/>
      <c r="N52" s="401">
        <f t="shared" si="4"/>
        <v>0</v>
      </c>
      <c r="O52" s="397"/>
      <c r="P52" s="376"/>
      <c r="Q52" s="376"/>
    </row>
    <row r="53" spans="2:17" x14ac:dyDescent="0.3">
      <c r="B53" s="393">
        <v>57</v>
      </c>
      <c r="C53" s="392" t="s">
        <v>611</v>
      </c>
      <c r="D53" s="391">
        <f>SUM(D54:D57)</f>
        <v>55700</v>
      </c>
      <c r="E53" s="391"/>
      <c r="F53" s="391">
        <f>SUM(F54:F57)</f>
        <v>73734.44</v>
      </c>
      <c r="G53" s="391">
        <f>SUM(G54:G57)</f>
        <v>66414.16</v>
      </c>
      <c r="H53" s="396"/>
      <c r="I53" s="396"/>
      <c r="J53" s="396"/>
      <c r="K53" s="396"/>
      <c r="L53" s="396"/>
      <c r="M53" s="396"/>
      <c r="N53" s="391">
        <f>SUM(N54:N57)</f>
        <v>73734.44</v>
      </c>
      <c r="O53" s="391">
        <f t="shared" ref="O53:Q53" si="5">SUM(O54:O57)</f>
        <v>0</v>
      </c>
      <c r="P53" s="391">
        <f t="shared" si="5"/>
        <v>0</v>
      </c>
      <c r="Q53" s="391">
        <f t="shared" si="5"/>
        <v>0</v>
      </c>
    </row>
    <row r="54" spans="2:17" s="368" customFormat="1" ht="38.4" customHeight="1" x14ac:dyDescent="0.3">
      <c r="B54" s="386" t="s">
        <v>142</v>
      </c>
      <c r="C54" s="381" t="s">
        <v>143</v>
      </c>
      <c r="D54" s="374">
        <v>5600</v>
      </c>
      <c r="E54" s="374">
        <v>19084.439999999999</v>
      </c>
      <c r="F54" s="374">
        <f t="shared" si="2"/>
        <v>24684.44</v>
      </c>
      <c r="G54" s="792">
        <v>24148.94</v>
      </c>
      <c r="H54" s="376"/>
      <c r="I54" s="376"/>
      <c r="J54" s="376"/>
      <c r="L54" s="376"/>
      <c r="M54" s="376"/>
      <c r="N54" s="401">
        <f>+F54+I54-K54+L54-M54</f>
        <v>24684.44</v>
      </c>
      <c r="O54" s="397"/>
      <c r="P54" s="376"/>
      <c r="Q54" s="376"/>
    </row>
    <row r="55" spans="2:17" x14ac:dyDescent="0.3">
      <c r="B55" s="386" t="s">
        <v>118</v>
      </c>
      <c r="C55" s="793" t="s">
        <v>119</v>
      </c>
      <c r="D55" s="374">
        <v>48500</v>
      </c>
      <c r="E55" s="374">
        <v>0</v>
      </c>
      <c r="F55" s="374">
        <f t="shared" si="2"/>
        <v>48500</v>
      </c>
      <c r="G55" s="374">
        <v>41999.53</v>
      </c>
      <c r="H55" s="376"/>
      <c r="I55" s="376"/>
      <c r="J55" s="376"/>
      <c r="K55" s="376"/>
      <c r="L55" s="376"/>
      <c r="M55" s="376"/>
      <c r="N55" s="401">
        <f t="shared" si="4"/>
        <v>48500</v>
      </c>
      <c r="O55" s="397"/>
      <c r="P55" s="376"/>
      <c r="Q55" s="376"/>
    </row>
    <row r="56" spans="2:17" x14ac:dyDescent="0.3">
      <c r="B56" s="386" t="s">
        <v>145</v>
      </c>
      <c r="C56" s="793" t="s">
        <v>146</v>
      </c>
      <c r="D56" s="374">
        <v>500</v>
      </c>
      <c r="E56" s="374">
        <v>0</v>
      </c>
      <c r="F56" s="374">
        <f t="shared" si="2"/>
        <v>500</v>
      </c>
      <c r="G56" s="376">
        <v>265.69</v>
      </c>
      <c r="H56" s="376"/>
      <c r="I56" s="376"/>
      <c r="J56" s="376"/>
      <c r="K56" s="376"/>
      <c r="L56" s="376"/>
      <c r="M56" s="376"/>
      <c r="N56" s="401">
        <f t="shared" si="4"/>
        <v>500</v>
      </c>
      <c r="O56" s="397"/>
      <c r="P56" s="376"/>
      <c r="Q56" s="376"/>
    </row>
    <row r="57" spans="2:17" ht="31.2" x14ac:dyDescent="0.3">
      <c r="B57" s="386" t="s">
        <v>147</v>
      </c>
      <c r="C57" s="793" t="s">
        <v>148</v>
      </c>
      <c r="D57" s="374">
        <v>1100</v>
      </c>
      <c r="E57" s="374">
        <v>-1050</v>
      </c>
      <c r="F57" s="374">
        <f>+D57+E57</f>
        <v>50</v>
      </c>
      <c r="G57" s="376">
        <v>0</v>
      </c>
      <c r="H57" s="376"/>
      <c r="I57" s="376"/>
      <c r="J57" s="376"/>
      <c r="L57" s="376"/>
      <c r="M57" s="376"/>
      <c r="N57" s="401">
        <f t="shared" si="4"/>
        <v>50</v>
      </c>
      <c r="O57" s="397"/>
      <c r="P57" s="376"/>
      <c r="Q57" s="376"/>
    </row>
    <row r="58" spans="2:17" x14ac:dyDescent="0.3">
      <c r="B58" s="393">
        <v>58</v>
      </c>
      <c r="C58" s="392" t="s">
        <v>612</v>
      </c>
      <c r="D58" s="391">
        <f>SUM(D59)</f>
        <v>8000</v>
      </c>
      <c r="E58" s="794"/>
      <c r="F58" s="391">
        <f>SUM(F59)</f>
        <v>8000</v>
      </c>
      <c r="G58" s="391">
        <f>SUM(G59)</f>
        <v>4538.8500000000004</v>
      </c>
      <c r="H58" s="396"/>
      <c r="I58" s="396"/>
      <c r="J58" s="396"/>
      <c r="K58" s="396"/>
      <c r="L58" s="396"/>
      <c r="M58" s="396"/>
      <c r="N58" s="391">
        <f>SUM(N59)</f>
        <v>8000</v>
      </c>
      <c r="O58" s="391">
        <f t="shared" ref="O58:Q58" si="6">SUM(O59)</f>
        <v>0</v>
      </c>
      <c r="P58" s="391">
        <f t="shared" si="6"/>
        <v>0</v>
      </c>
      <c r="Q58" s="391">
        <f t="shared" si="6"/>
        <v>0</v>
      </c>
    </row>
    <row r="59" spans="2:17" x14ac:dyDescent="0.3">
      <c r="B59" s="386" t="s">
        <v>150</v>
      </c>
      <c r="C59" s="793" t="s">
        <v>151</v>
      </c>
      <c r="D59" s="402">
        <v>8000</v>
      </c>
      <c r="E59" s="374">
        <v>0</v>
      </c>
      <c r="F59" s="374">
        <f>+D59+E59</f>
        <v>8000</v>
      </c>
      <c r="G59" s="376">
        <v>4538.8500000000004</v>
      </c>
      <c r="H59" s="376"/>
      <c r="I59" s="376"/>
      <c r="J59" s="376"/>
      <c r="K59" s="376"/>
      <c r="L59" s="376"/>
      <c r="M59" s="376"/>
      <c r="N59" s="401">
        <f t="shared" si="4"/>
        <v>8000</v>
      </c>
      <c r="O59" s="397"/>
      <c r="P59" s="376"/>
      <c r="Q59" s="376"/>
    </row>
    <row r="60" spans="2:17" x14ac:dyDescent="0.3">
      <c r="B60" s="394">
        <v>84</v>
      </c>
      <c r="C60" s="392" t="s">
        <v>578</v>
      </c>
      <c r="D60" s="391">
        <f>SUM(D61:D63)</f>
        <v>131892.34</v>
      </c>
      <c r="E60" s="794"/>
      <c r="F60" s="391">
        <f>SUM(F61:F63)</f>
        <v>53581.19</v>
      </c>
      <c r="G60" s="391">
        <f>SUM(G61:G63)</f>
        <v>41194.19</v>
      </c>
      <c r="H60" s="396"/>
      <c r="I60" s="396"/>
      <c r="J60" s="396"/>
      <c r="K60" s="396"/>
      <c r="L60" s="396"/>
      <c r="M60" s="396"/>
      <c r="N60" s="391">
        <f>SUM(N61:N63)</f>
        <v>53581.19</v>
      </c>
      <c r="O60" s="391">
        <f t="shared" ref="O60:Q60" si="7">SUM(O61:O63)</f>
        <v>0</v>
      </c>
      <c r="P60" s="391">
        <f t="shared" si="7"/>
        <v>0</v>
      </c>
      <c r="Q60" s="391">
        <f t="shared" si="7"/>
        <v>0</v>
      </c>
    </row>
    <row r="61" spans="2:17" x14ac:dyDescent="0.3">
      <c r="B61" s="386" t="s">
        <v>189</v>
      </c>
      <c r="C61" s="793" t="s">
        <v>211</v>
      </c>
      <c r="D61" s="374">
        <v>29543.79</v>
      </c>
      <c r="E61" s="374">
        <v>-17341.599999999999</v>
      </c>
      <c r="F61" s="374">
        <f>+D61+E61</f>
        <v>12202.190000000002</v>
      </c>
      <c r="G61" s="376">
        <v>12202.19</v>
      </c>
      <c r="H61" s="376"/>
      <c r="I61" s="376"/>
      <c r="J61" s="376"/>
      <c r="K61" s="376"/>
      <c r="L61" s="376"/>
      <c r="M61" s="376"/>
      <c r="N61" s="401">
        <f t="shared" si="4"/>
        <v>12202.190000000002</v>
      </c>
      <c r="O61" s="397"/>
      <c r="P61" s="376"/>
      <c r="Q61" s="376"/>
    </row>
    <row r="62" spans="2:17" x14ac:dyDescent="0.3">
      <c r="B62" s="386" t="s">
        <v>171</v>
      </c>
      <c r="C62" s="793" t="s">
        <v>268</v>
      </c>
      <c r="D62" s="374">
        <v>92248.95</v>
      </c>
      <c r="E62" s="374">
        <v>-63686.95</v>
      </c>
      <c r="F62" s="374">
        <f t="shared" ref="F62:F63" si="8">+D62+E62</f>
        <v>28562</v>
      </c>
      <c r="G62" s="376">
        <v>16392</v>
      </c>
      <c r="H62" s="376"/>
      <c r="I62" s="376"/>
      <c r="J62" s="376"/>
      <c r="K62" s="376"/>
      <c r="L62" s="376"/>
      <c r="M62" s="376"/>
      <c r="N62" s="401">
        <f t="shared" si="4"/>
        <v>28562</v>
      </c>
      <c r="O62" s="397"/>
      <c r="P62" s="376"/>
      <c r="Q62" s="376"/>
    </row>
    <row r="63" spans="2:17" x14ac:dyDescent="0.3">
      <c r="B63" s="386" t="s">
        <v>208</v>
      </c>
      <c r="C63" s="793" t="s">
        <v>613</v>
      </c>
      <c r="D63" s="374">
        <v>10099.6</v>
      </c>
      <c r="E63" s="794">
        <v>2717.4</v>
      </c>
      <c r="F63" s="374">
        <f t="shared" si="8"/>
        <v>12817</v>
      </c>
      <c r="G63" s="376">
        <v>12600</v>
      </c>
      <c r="H63" s="376"/>
      <c r="J63" s="376"/>
      <c r="K63" s="376"/>
      <c r="L63" s="376"/>
      <c r="M63" s="376"/>
      <c r="N63" s="401">
        <f t="shared" si="4"/>
        <v>12817</v>
      </c>
      <c r="O63" s="397"/>
      <c r="P63" s="376"/>
      <c r="Q63" s="376"/>
    </row>
    <row r="64" spans="2:17" s="384" customFormat="1" ht="35.4" customHeight="1" x14ac:dyDescent="0.3">
      <c r="B64" s="387"/>
      <c r="C64" s="795" t="s">
        <v>909</v>
      </c>
      <c r="D64" s="377">
        <f>+D7+D20+D53+D58+D60</f>
        <v>1436558.37</v>
      </c>
      <c r="E64" s="374"/>
      <c r="F64" s="377">
        <f>+F7+F20+F53+F58+F60</f>
        <v>1385657.1999999997</v>
      </c>
      <c r="G64" s="377">
        <f>+G7+G20+G53+G58+G60</f>
        <v>861267.57000000007</v>
      </c>
      <c r="H64" s="377">
        <f>SUM(H8:H63)</f>
        <v>0</v>
      </c>
      <c r="I64" s="377">
        <f t="shared" ref="I64:K64" si="9">SUM(I8:I63)</f>
        <v>0</v>
      </c>
      <c r="J64" s="377">
        <f t="shared" si="9"/>
        <v>0</v>
      </c>
      <c r="K64" s="377">
        <f t="shared" si="9"/>
        <v>0</v>
      </c>
      <c r="L64" s="377">
        <f>SUM(L8:L63)</f>
        <v>0</v>
      </c>
      <c r="M64" s="377">
        <f t="shared" ref="M64" si="10">SUM(M8:M63)</f>
        <v>0</v>
      </c>
      <c r="N64" s="377">
        <f>+N7+N20+N53+N58+N60</f>
        <v>1385657.1999999997</v>
      </c>
      <c r="O64" s="377">
        <f>+O7+O20+O53+O58+O60</f>
        <v>0</v>
      </c>
      <c r="P64" s="377">
        <f>+P7+P20+P53+P58+P60</f>
        <v>55321.573333333341</v>
      </c>
      <c r="Q64" s="377">
        <f>+Q7+Q20+Q53+Q58+Q60</f>
        <v>285</v>
      </c>
    </row>
    <row r="65" spans="2:18" s="384" customFormat="1" ht="35.4" customHeight="1" x14ac:dyDescent="0.3">
      <c r="B65" s="580"/>
      <c r="C65" s="576"/>
      <c r="F65" s="577"/>
      <c r="H65" s="577"/>
      <c r="I65" s="577"/>
      <c r="J65" s="577"/>
      <c r="K65" s="577"/>
      <c r="L65" s="577"/>
      <c r="M65" s="577"/>
      <c r="N65" s="577"/>
      <c r="O65" s="577"/>
      <c r="P65" s="577"/>
      <c r="Q65" s="577"/>
    </row>
    <row r="66" spans="2:18" s="384" customFormat="1" ht="15" customHeight="1" x14ac:dyDescent="0.3">
      <c r="B66" s="580"/>
      <c r="C66" s="576"/>
      <c r="D66" s="576"/>
      <c r="E66" s="576"/>
      <c r="F66" s="577"/>
      <c r="G66" s="577"/>
      <c r="H66" s="577"/>
      <c r="I66" s="577"/>
      <c r="J66" s="577"/>
      <c r="K66" s="577"/>
      <c r="L66" s="577"/>
      <c r="M66" s="577"/>
      <c r="N66" s="577"/>
      <c r="O66" s="577"/>
      <c r="P66" s="577"/>
      <c r="Q66" s="577"/>
    </row>
    <row r="67" spans="2:18" s="384" customFormat="1" ht="15" customHeight="1" x14ac:dyDescent="0.3">
      <c r="B67" s="580"/>
      <c r="C67" s="576"/>
      <c r="D67" s="576"/>
      <c r="E67" s="576"/>
      <c r="F67" s="577"/>
      <c r="G67" s="577"/>
      <c r="H67" s="577"/>
      <c r="I67" s="577"/>
      <c r="J67" s="577"/>
      <c r="K67" s="577"/>
      <c r="L67" s="577"/>
      <c r="M67" s="577"/>
      <c r="N67" s="577"/>
      <c r="O67" s="577"/>
      <c r="P67" s="577"/>
      <c r="Q67" s="577"/>
    </row>
    <row r="68" spans="2:18" ht="24" customHeight="1" thickBot="1" x14ac:dyDescent="0.35">
      <c r="B68" s="584" t="s">
        <v>949</v>
      </c>
      <c r="C68" s="726" t="s">
        <v>899</v>
      </c>
      <c r="D68" s="726"/>
      <c r="E68" s="726"/>
      <c r="F68" s="726"/>
      <c r="G68" s="583"/>
      <c r="R68" s="531"/>
    </row>
    <row r="69" spans="2:18" ht="27" customHeight="1" x14ac:dyDescent="0.3">
      <c r="B69" s="714" t="s">
        <v>573</v>
      </c>
      <c r="C69" s="716" t="s">
        <v>574</v>
      </c>
      <c r="D69" s="716" t="s">
        <v>1140</v>
      </c>
      <c r="E69" s="716" t="s">
        <v>1141</v>
      </c>
      <c r="F69" s="714" t="s">
        <v>518</v>
      </c>
      <c r="G69" s="714" t="s">
        <v>509</v>
      </c>
      <c r="H69" s="716" t="s">
        <v>798</v>
      </c>
      <c r="I69" s="719"/>
      <c r="J69" s="719"/>
      <c r="K69" s="719"/>
      <c r="L69" s="719"/>
      <c r="M69" s="720"/>
      <c r="N69" s="714" t="s">
        <v>925</v>
      </c>
      <c r="O69" s="714" t="s">
        <v>328</v>
      </c>
      <c r="P69" s="714" t="s">
        <v>604</v>
      </c>
      <c r="Q69" s="714" t="s">
        <v>926</v>
      </c>
    </row>
    <row r="70" spans="2:18" ht="19.2" customHeight="1" thickBot="1" x14ac:dyDescent="0.35">
      <c r="B70" s="715"/>
      <c r="C70" s="717"/>
      <c r="D70" s="717"/>
      <c r="E70" s="717"/>
      <c r="F70" s="715"/>
      <c r="G70" s="715"/>
      <c r="H70" s="721"/>
      <c r="I70" s="722"/>
      <c r="J70" s="722"/>
      <c r="K70" s="722"/>
      <c r="L70" s="722"/>
      <c r="M70" s="723"/>
      <c r="N70" s="715"/>
      <c r="O70" s="715"/>
      <c r="P70" s="715"/>
      <c r="Q70" s="715"/>
    </row>
    <row r="71" spans="2:18" ht="36" customHeight="1" x14ac:dyDescent="0.3">
      <c r="B71" s="715"/>
      <c r="C71" s="717"/>
      <c r="D71" s="717"/>
      <c r="E71" s="717"/>
      <c r="F71" s="715"/>
      <c r="G71" s="715"/>
      <c r="H71" s="582" t="s">
        <v>521</v>
      </c>
      <c r="I71" s="582" t="s">
        <v>520</v>
      </c>
      <c r="J71" s="582" t="s">
        <v>521</v>
      </c>
      <c r="K71" s="582" t="s">
        <v>520</v>
      </c>
      <c r="L71" s="582" t="s">
        <v>403</v>
      </c>
      <c r="M71" s="582" t="s">
        <v>395</v>
      </c>
      <c r="N71" s="715"/>
      <c r="O71" s="715"/>
      <c r="P71" s="715"/>
      <c r="Q71" s="715"/>
    </row>
    <row r="72" spans="2:18" x14ac:dyDescent="0.3">
      <c r="B72" s="393">
        <v>53</v>
      </c>
      <c r="C72" s="389" t="s">
        <v>575</v>
      </c>
      <c r="D72" s="796">
        <f>SUM(D73:D83)</f>
        <v>42589.340000000004</v>
      </c>
      <c r="E72" s="789"/>
      <c r="F72" s="796">
        <f>SUM(F73:F83)</f>
        <v>14113.23</v>
      </c>
      <c r="G72" s="796">
        <f>SUM(G73:G83)</f>
        <v>1914.8400000000001</v>
      </c>
      <c r="H72" s="396"/>
      <c r="I72" s="396"/>
      <c r="J72" s="396"/>
      <c r="K72" s="396"/>
      <c r="L72" s="396"/>
      <c r="M72" s="396"/>
      <c r="N72" s="391">
        <f>SUM(N73:N83)</f>
        <v>14113.23</v>
      </c>
      <c r="O72" s="391">
        <f t="shared" ref="O72:Q72" si="11">SUM(O73:O83)</f>
        <v>0</v>
      </c>
      <c r="P72" s="391">
        <f t="shared" si="11"/>
        <v>1180.67</v>
      </c>
      <c r="Q72" s="391">
        <f t="shared" si="11"/>
        <v>0</v>
      </c>
    </row>
    <row r="73" spans="2:18" x14ac:dyDescent="0.3">
      <c r="B73" s="402" t="s">
        <v>287</v>
      </c>
      <c r="C73" s="376" t="s">
        <v>288</v>
      </c>
      <c r="D73" s="376">
        <v>1407.33</v>
      </c>
      <c r="E73" s="376">
        <v>-1124</v>
      </c>
      <c r="F73" s="374">
        <f t="shared" ref="F73:F93" si="12">+D73+E73</f>
        <v>283.32999999999993</v>
      </c>
      <c r="G73" s="376">
        <v>0</v>
      </c>
      <c r="H73" s="376"/>
      <c r="I73" s="376"/>
      <c r="J73" s="376"/>
      <c r="K73" s="376"/>
      <c r="L73" s="376"/>
      <c r="M73" s="376"/>
      <c r="N73" s="401">
        <f t="shared" ref="N73:N83" si="13">+F73+I73-K73+L73-M73</f>
        <v>283.32999999999993</v>
      </c>
      <c r="O73" s="397"/>
      <c r="P73" s="376">
        <v>396.67</v>
      </c>
      <c r="Q73" s="373"/>
    </row>
    <row r="74" spans="2:18" x14ac:dyDescent="0.3">
      <c r="B74" s="402" t="s">
        <v>251</v>
      </c>
      <c r="C74" s="376" t="s">
        <v>252</v>
      </c>
      <c r="D74" s="376">
        <v>1200</v>
      </c>
      <c r="E74" s="376">
        <v>-1200</v>
      </c>
      <c r="F74" s="374">
        <f t="shared" si="12"/>
        <v>0</v>
      </c>
      <c r="G74" s="376">
        <v>0</v>
      </c>
      <c r="H74" s="376"/>
      <c r="I74" s="376"/>
      <c r="J74" s="376"/>
      <c r="K74" s="376"/>
      <c r="L74" s="376"/>
      <c r="M74" s="376"/>
      <c r="N74" s="401">
        <f t="shared" si="13"/>
        <v>0</v>
      </c>
      <c r="O74" s="397"/>
      <c r="P74" s="376"/>
      <c r="Q74" s="373"/>
    </row>
    <row r="75" spans="2:18" x14ac:dyDescent="0.3">
      <c r="B75" s="402" t="s">
        <v>182</v>
      </c>
      <c r="C75" s="376" t="s">
        <v>285</v>
      </c>
      <c r="D75" s="376">
        <v>960</v>
      </c>
      <c r="E75" s="376">
        <v>3059</v>
      </c>
      <c r="F75" s="374">
        <f t="shared" si="12"/>
        <v>4019</v>
      </c>
      <c r="G75" s="376">
        <v>0</v>
      </c>
      <c r="H75" s="376"/>
      <c r="I75" s="376"/>
      <c r="J75" s="376"/>
      <c r="K75" s="376"/>
      <c r="L75" s="376"/>
      <c r="M75" s="376"/>
      <c r="N75" s="401">
        <f t="shared" si="13"/>
        <v>4019</v>
      </c>
      <c r="O75" s="397"/>
      <c r="P75" s="376">
        <v>784</v>
      </c>
      <c r="Q75" s="373"/>
    </row>
    <row r="76" spans="2:18" x14ac:dyDescent="0.3">
      <c r="B76" s="402" t="s">
        <v>153</v>
      </c>
      <c r="C76" s="376" t="s">
        <v>154</v>
      </c>
      <c r="D76" s="376">
        <v>22150</v>
      </c>
      <c r="E76" s="376">
        <v>-21319.14</v>
      </c>
      <c r="F76" s="374">
        <f t="shared" si="12"/>
        <v>830.86000000000058</v>
      </c>
      <c r="G76" s="376">
        <v>0</v>
      </c>
      <c r="H76" s="376"/>
      <c r="I76" s="376"/>
      <c r="J76" s="376"/>
      <c r="K76" s="376"/>
      <c r="L76" s="376"/>
      <c r="M76" s="376"/>
      <c r="N76" s="401">
        <f t="shared" si="13"/>
        <v>830.86000000000058</v>
      </c>
      <c r="O76" s="397"/>
      <c r="P76" s="376"/>
      <c r="Q76" s="373"/>
    </row>
    <row r="77" spans="2:18" x14ac:dyDescent="0.3">
      <c r="B77" s="402" t="s">
        <v>265</v>
      </c>
      <c r="C77" s="376" t="s">
        <v>266</v>
      </c>
      <c r="D77" s="376">
        <v>1165</v>
      </c>
      <c r="E77" s="376">
        <v>-1165</v>
      </c>
      <c r="F77" s="374">
        <f t="shared" si="12"/>
        <v>0</v>
      </c>
      <c r="G77" s="376">
        <v>0</v>
      </c>
      <c r="H77" s="376"/>
      <c r="I77" s="376"/>
      <c r="J77" s="376"/>
      <c r="K77" s="376"/>
      <c r="L77" s="376"/>
      <c r="M77" s="376"/>
      <c r="N77" s="401">
        <f t="shared" si="13"/>
        <v>0</v>
      </c>
      <c r="O77" s="397"/>
      <c r="P77" s="376"/>
      <c r="Q77" s="373"/>
    </row>
    <row r="78" spans="2:18" x14ac:dyDescent="0.3">
      <c r="B78" s="402" t="s">
        <v>304</v>
      </c>
      <c r="C78" s="376" t="s">
        <v>305</v>
      </c>
      <c r="D78" s="376">
        <v>40.4</v>
      </c>
      <c r="E78" s="376">
        <v>0</v>
      </c>
      <c r="F78" s="374">
        <f t="shared" si="12"/>
        <v>40.4</v>
      </c>
      <c r="G78" s="376">
        <v>0</v>
      </c>
      <c r="H78" s="376"/>
      <c r="I78" s="376"/>
      <c r="J78" s="376"/>
      <c r="K78" s="376"/>
      <c r="L78" s="376"/>
      <c r="M78" s="376"/>
      <c r="N78" s="401">
        <f t="shared" si="13"/>
        <v>40.4</v>
      </c>
      <c r="O78" s="397"/>
      <c r="P78" s="376"/>
      <c r="Q78" s="373"/>
    </row>
    <row r="79" spans="2:18" x14ac:dyDescent="0.3">
      <c r="B79" s="402" t="s">
        <v>260</v>
      </c>
      <c r="C79" s="376" t="s">
        <v>261</v>
      </c>
      <c r="D79" s="376">
        <v>4424</v>
      </c>
      <c r="E79" s="376">
        <v>0</v>
      </c>
      <c r="F79" s="374">
        <f t="shared" si="12"/>
        <v>4424</v>
      </c>
      <c r="G79" s="376">
        <v>0</v>
      </c>
      <c r="H79" s="376"/>
      <c r="I79" s="376"/>
      <c r="J79" s="376"/>
      <c r="K79" s="376"/>
      <c r="L79" s="376"/>
      <c r="M79" s="376"/>
      <c r="N79" s="401">
        <f t="shared" si="13"/>
        <v>4424</v>
      </c>
      <c r="O79" s="397"/>
      <c r="P79" s="376"/>
      <c r="Q79" s="373"/>
    </row>
    <row r="80" spans="2:18" x14ac:dyDescent="0.3">
      <c r="B80" s="402" t="s">
        <v>212</v>
      </c>
      <c r="C80" s="376" t="s">
        <v>213</v>
      </c>
      <c r="D80" s="376">
        <v>7270.82</v>
      </c>
      <c r="E80" s="376">
        <v>-7270.82</v>
      </c>
      <c r="F80" s="374">
        <f t="shared" si="12"/>
        <v>0</v>
      </c>
      <c r="G80" s="376">
        <v>0</v>
      </c>
      <c r="H80" s="376"/>
      <c r="I80" s="376"/>
      <c r="J80" s="376"/>
      <c r="K80" s="376"/>
      <c r="L80" s="376"/>
      <c r="M80" s="376"/>
      <c r="N80" s="401">
        <f t="shared" si="13"/>
        <v>0</v>
      </c>
      <c r="O80" s="397"/>
      <c r="P80" s="376"/>
      <c r="Q80" s="373"/>
    </row>
    <row r="81" spans="2:17" x14ac:dyDescent="0.3">
      <c r="B81" s="402" t="s">
        <v>318</v>
      </c>
      <c r="C81" s="376" t="s">
        <v>319</v>
      </c>
      <c r="D81" s="376">
        <v>900</v>
      </c>
      <c r="E81" s="376">
        <v>-199.92</v>
      </c>
      <c r="F81" s="374">
        <f t="shared" si="12"/>
        <v>700.08</v>
      </c>
      <c r="G81" s="376">
        <v>700.08</v>
      </c>
      <c r="H81" s="376"/>
      <c r="I81" s="376"/>
      <c r="J81" s="376"/>
      <c r="K81" s="376"/>
      <c r="L81" s="376"/>
      <c r="M81" s="376"/>
      <c r="N81" s="401">
        <f t="shared" si="13"/>
        <v>700.08</v>
      </c>
      <c r="O81" s="397"/>
      <c r="P81" s="376"/>
      <c r="Q81" s="373"/>
    </row>
    <row r="82" spans="2:17" x14ac:dyDescent="0.3">
      <c r="B82" s="402" t="s">
        <v>279</v>
      </c>
      <c r="C82" s="376" t="s">
        <v>280</v>
      </c>
      <c r="D82" s="376">
        <v>1587.55</v>
      </c>
      <c r="E82" s="376">
        <v>2127.21</v>
      </c>
      <c r="F82" s="374">
        <f t="shared" si="12"/>
        <v>3714.76</v>
      </c>
      <c r="G82" s="376">
        <v>1214.76</v>
      </c>
      <c r="H82" s="376"/>
      <c r="I82" s="532"/>
      <c r="J82" s="376"/>
      <c r="K82" s="376"/>
      <c r="M82" s="376"/>
      <c r="N82" s="401">
        <f t="shared" si="13"/>
        <v>3714.76</v>
      </c>
      <c r="O82" s="397"/>
      <c r="P82" s="376"/>
      <c r="Q82" s="373"/>
    </row>
    <row r="83" spans="2:17" x14ac:dyDescent="0.3">
      <c r="B83" s="402" t="s">
        <v>275</v>
      </c>
      <c r="C83" s="376" t="s">
        <v>268</v>
      </c>
      <c r="D83" s="376">
        <v>1484.24</v>
      </c>
      <c r="E83" s="376">
        <v>-1383.44</v>
      </c>
      <c r="F83" s="374">
        <f t="shared" si="12"/>
        <v>100.79999999999995</v>
      </c>
      <c r="G83" s="376">
        <v>0</v>
      </c>
      <c r="H83" s="376"/>
      <c r="I83" s="376"/>
      <c r="J83" s="376"/>
      <c r="K83" s="376"/>
      <c r="L83" s="376"/>
      <c r="M83" s="376"/>
      <c r="N83" s="401">
        <f t="shared" si="13"/>
        <v>100.79999999999995</v>
      </c>
      <c r="O83" s="397"/>
      <c r="P83" s="376"/>
      <c r="Q83" s="373"/>
    </row>
    <row r="84" spans="2:17" x14ac:dyDescent="0.3">
      <c r="B84" s="393">
        <v>73</v>
      </c>
      <c r="C84" s="389" t="s">
        <v>576</v>
      </c>
      <c r="D84" s="391">
        <f>SUM(D85:D87)</f>
        <v>334526.98</v>
      </c>
      <c r="E84" s="789"/>
      <c r="F84" s="391">
        <f>SUM(F85:F87)</f>
        <v>613143.55000000005</v>
      </c>
      <c r="G84" s="391">
        <f>SUM(G85:G87)</f>
        <v>191030</v>
      </c>
      <c r="H84" s="396"/>
      <c r="I84" s="396"/>
      <c r="J84" s="396"/>
      <c r="K84" s="396"/>
      <c r="L84" s="396"/>
      <c r="M84" s="396"/>
      <c r="N84" s="391">
        <f>SUM(N85:N87)</f>
        <v>613143.55000000005</v>
      </c>
      <c r="O84" s="391">
        <f t="shared" ref="O84:Q84" si="14">SUM(O85:O87)</f>
        <v>0</v>
      </c>
      <c r="P84" s="391">
        <f t="shared" si="14"/>
        <v>59331.740000000005</v>
      </c>
      <c r="Q84" s="391">
        <f t="shared" si="14"/>
        <v>0</v>
      </c>
    </row>
    <row r="85" spans="2:17" x14ac:dyDescent="0.3">
      <c r="B85" s="402" t="s">
        <v>313</v>
      </c>
      <c r="C85" s="376" t="s">
        <v>577</v>
      </c>
      <c r="D85" s="376">
        <v>30000</v>
      </c>
      <c r="E85" s="376">
        <v>355129.69</v>
      </c>
      <c r="F85" s="374">
        <f t="shared" si="12"/>
        <v>385129.69</v>
      </c>
      <c r="G85" s="376">
        <v>0</v>
      </c>
      <c r="H85" s="376"/>
      <c r="I85" s="376"/>
      <c r="J85" s="376"/>
      <c r="K85" s="376"/>
      <c r="L85" s="376"/>
      <c r="M85" s="376"/>
      <c r="N85" s="401">
        <f t="shared" ref="N85:N87" si="15">+F85+I85-K85+L85-M85</f>
        <v>385129.69</v>
      </c>
      <c r="O85" s="397"/>
      <c r="P85" s="376"/>
      <c r="Q85" s="373"/>
    </row>
    <row r="86" spans="2:17" x14ac:dyDescent="0.3">
      <c r="B86" s="402" t="s">
        <v>301</v>
      </c>
      <c r="C86" s="376" t="s">
        <v>154</v>
      </c>
      <c r="D86" s="376">
        <v>300326.98</v>
      </c>
      <c r="E86" s="376">
        <v>-76513.119999999995</v>
      </c>
      <c r="F86" s="374">
        <f t="shared" si="12"/>
        <v>223813.86</v>
      </c>
      <c r="G86" s="376">
        <v>191030</v>
      </c>
      <c r="H86" s="376"/>
      <c r="I86" s="376"/>
      <c r="J86" s="376"/>
      <c r="K86" s="376"/>
      <c r="L86" s="376"/>
      <c r="M86" s="376"/>
      <c r="N86" s="401">
        <f t="shared" si="15"/>
        <v>223813.86</v>
      </c>
      <c r="O86" s="397"/>
      <c r="P86" s="376">
        <v>59331.740000000005</v>
      </c>
      <c r="Q86" s="373"/>
    </row>
    <row r="87" spans="2:17" x14ac:dyDescent="0.3">
      <c r="B87" s="402" t="s">
        <v>264</v>
      </c>
      <c r="C87" s="376" t="s">
        <v>261</v>
      </c>
      <c r="D87" s="376">
        <v>4200</v>
      </c>
      <c r="E87" s="376">
        <v>0</v>
      </c>
      <c r="F87" s="374">
        <f t="shared" si="12"/>
        <v>4200</v>
      </c>
      <c r="G87" s="376">
        <v>0</v>
      </c>
      <c r="H87" s="376"/>
      <c r="I87" s="376"/>
      <c r="J87" s="376"/>
      <c r="K87" s="376"/>
      <c r="L87" s="376"/>
      <c r="M87" s="376"/>
      <c r="N87" s="401">
        <f t="shared" si="15"/>
        <v>4200</v>
      </c>
      <c r="O87" s="397"/>
      <c r="P87" s="376"/>
      <c r="Q87" s="373"/>
    </row>
    <row r="88" spans="2:17" x14ac:dyDescent="0.3">
      <c r="B88" s="393">
        <v>84</v>
      </c>
      <c r="C88" s="389" t="s">
        <v>578</v>
      </c>
      <c r="D88" s="391">
        <f>SUM(D89:D93)</f>
        <v>205794.78</v>
      </c>
      <c r="E88" s="789"/>
      <c r="F88" s="391">
        <f>SUM(F89:F93)</f>
        <v>249139.59000000003</v>
      </c>
      <c r="G88" s="391">
        <f>SUM(G89:G93)</f>
        <v>151532.22</v>
      </c>
      <c r="H88" s="396"/>
      <c r="I88" s="396"/>
      <c r="J88" s="396"/>
      <c r="K88" s="396"/>
      <c r="L88" s="396"/>
      <c r="M88" s="396"/>
      <c r="N88" s="391">
        <f>SUM(N89:N93)</f>
        <v>249139.59000000003</v>
      </c>
      <c r="O88" s="391">
        <f t="shared" ref="O88:Q88" si="16">SUM(O89:O93)</f>
        <v>0</v>
      </c>
      <c r="P88" s="391">
        <f t="shared" si="16"/>
        <v>164314.1</v>
      </c>
      <c r="Q88" s="391">
        <f t="shared" si="16"/>
        <v>0</v>
      </c>
    </row>
    <row r="89" spans="2:17" x14ac:dyDescent="0.3">
      <c r="B89" s="402" t="s">
        <v>171</v>
      </c>
      <c r="C89" s="376" t="s">
        <v>268</v>
      </c>
      <c r="D89" s="376">
        <v>196368.78</v>
      </c>
      <c r="E89" s="376">
        <v>1778.6</v>
      </c>
      <c r="F89" s="374">
        <f t="shared" si="12"/>
        <v>198147.38</v>
      </c>
      <c r="G89" s="376">
        <v>151532.22</v>
      </c>
      <c r="H89" s="376"/>
      <c r="I89" s="376"/>
      <c r="J89" s="376"/>
      <c r="K89" s="376"/>
      <c r="L89" s="376"/>
      <c r="M89" s="376"/>
      <c r="N89" s="401">
        <f>+F89+I89-K89+L89-M89</f>
        <v>198147.38</v>
      </c>
      <c r="O89" s="397"/>
      <c r="P89" s="376">
        <f>+[5]POA2025!BM139+[5]POA2025!BM153</f>
        <v>81018.52</v>
      </c>
      <c r="Q89" s="373"/>
    </row>
    <row r="90" spans="2:17" x14ac:dyDescent="0.3">
      <c r="B90" s="402" t="s">
        <v>271</v>
      </c>
      <c r="C90" s="376" t="s">
        <v>272</v>
      </c>
      <c r="D90" s="376">
        <v>9426</v>
      </c>
      <c r="E90" s="376">
        <v>-9426</v>
      </c>
      <c r="F90" s="374">
        <f t="shared" si="12"/>
        <v>0</v>
      </c>
      <c r="G90" s="376">
        <v>0</v>
      </c>
      <c r="H90" s="376"/>
      <c r="I90" s="376"/>
      <c r="K90" s="376"/>
      <c r="L90" s="376"/>
      <c r="M90" s="376"/>
      <c r="N90" s="401">
        <f>+F90+I90-K90+L90-M90</f>
        <v>0</v>
      </c>
      <c r="O90" s="397"/>
      <c r="P90" s="376"/>
      <c r="Q90" s="373"/>
    </row>
    <row r="91" spans="2:17" x14ac:dyDescent="0.3">
      <c r="B91" s="402" t="s">
        <v>559</v>
      </c>
      <c r="C91" s="376" t="s">
        <v>927</v>
      </c>
      <c r="D91" s="376">
        <v>0</v>
      </c>
      <c r="E91" s="376">
        <v>44851.45</v>
      </c>
      <c r="F91" s="374">
        <f t="shared" si="12"/>
        <v>44851.45</v>
      </c>
      <c r="G91" s="376">
        <v>0</v>
      </c>
      <c r="H91" s="376"/>
      <c r="I91" s="376"/>
      <c r="J91" s="376"/>
      <c r="K91" s="376"/>
      <c r="L91" s="376"/>
      <c r="M91" s="376"/>
      <c r="N91" s="401">
        <f>+F91+I91-K91+L91-M91</f>
        <v>44851.45</v>
      </c>
      <c r="O91" s="397"/>
      <c r="P91" s="376">
        <f>+[5]POA2025!BM141</f>
        <v>83295.58</v>
      </c>
      <c r="Q91" s="373"/>
    </row>
    <row r="92" spans="2:17" hidden="1" x14ac:dyDescent="0.3">
      <c r="B92" s="402" t="s">
        <v>560</v>
      </c>
      <c r="C92" s="376" t="s">
        <v>928</v>
      </c>
      <c r="D92" s="376">
        <v>0</v>
      </c>
      <c r="E92" s="376"/>
      <c r="F92" s="374">
        <f t="shared" si="12"/>
        <v>0</v>
      </c>
      <c r="G92" s="376"/>
      <c r="H92" s="376"/>
      <c r="I92" s="376"/>
      <c r="J92" s="376"/>
      <c r="K92" s="376"/>
      <c r="L92" s="376"/>
      <c r="M92" s="376"/>
      <c r="N92" s="401">
        <f t="shared" ref="N92:N93" si="17">+F92+I92-K92+L92-M92</f>
        <v>0</v>
      </c>
      <c r="O92" s="397"/>
      <c r="P92" s="376"/>
      <c r="Q92" s="373"/>
    </row>
    <row r="93" spans="2:17" x14ac:dyDescent="0.3">
      <c r="B93" s="402" t="s">
        <v>553</v>
      </c>
      <c r="C93" s="376" t="s">
        <v>929</v>
      </c>
      <c r="D93" s="376">
        <v>0</v>
      </c>
      <c r="E93" s="376">
        <v>6140.76</v>
      </c>
      <c r="F93" s="374">
        <f t="shared" si="12"/>
        <v>6140.76</v>
      </c>
      <c r="G93" s="376">
        <v>0</v>
      </c>
      <c r="H93" s="376"/>
      <c r="I93" s="376"/>
      <c r="J93" s="376"/>
      <c r="K93" s="376"/>
      <c r="L93" s="376"/>
      <c r="M93" s="376"/>
      <c r="N93" s="401">
        <f t="shared" si="17"/>
        <v>6140.76</v>
      </c>
      <c r="O93" s="397"/>
      <c r="P93" s="376"/>
      <c r="Q93" s="373"/>
    </row>
    <row r="94" spans="2:17" s="370" customFormat="1" ht="36.6" customHeight="1" x14ac:dyDescent="0.3">
      <c r="B94" s="403"/>
      <c r="C94" s="404" t="s">
        <v>899</v>
      </c>
      <c r="D94" s="377">
        <f>+D72+D84+D88</f>
        <v>582911.1</v>
      </c>
      <c r="E94" s="404"/>
      <c r="F94" s="377">
        <f>+F72+F84+F88</f>
        <v>876396.37000000011</v>
      </c>
      <c r="G94" s="377">
        <f>+G72+G84+G88</f>
        <v>344477.06</v>
      </c>
      <c r="H94" s="377"/>
      <c r="I94" s="377">
        <f t="shared" ref="I94:K94" si="18">SUM(I73:I93)</f>
        <v>0</v>
      </c>
      <c r="J94" s="377">
        <f t="shared" si="18"/>
        <v>0</v>
      </c>
      <c r="K94" s="377">
        <f t="shared" si="18"/>
        <v>0</v>
      </c>
      <c r="L94" s="377"/>
      <c r="M94" s="377"/>
      <c r="N94" s="377">
        <f>+N72+N84+N88</f>
        <v>876396.37000000011</v>
      </c>
      <c r="O94" s="377">
        <f t="shared" ref="O94:Q94" si="19">+O72+O84+O88</f>
        <v>0</v>
      </c>
      <c r="P94" s="377">
        <f t="shared" si="19"/>
        <v>224826.51</v>
      </c>
      <c r="Q94" s="377">
        <f t="shared" si="19"/>
        <v>0</v>
      </c>
    </row>
    <row r="95" spans="2:17" s="370" customFormat="1" x14ac:dyDescent="0.3">
      <c r="B95" s="575"/>
      <c r="C95" s="576"/>
      <c r="D95" s="576"/>
      <c r="E95" s="576"/>
      <c r="F95" s="577"/>
      <c r="G95" s="577"/>
      <c r="H95" s="577"/>
      <c r="I95" s="577"/>
      <c r="J95" s="577"/>
      <c r="K95" s="577"/>
      <c r="L95" s="577"/>
      <c r="M95" s="577"/>
      <c r="N95" s="577"/>
      <c r="O95" s="577"/>
      <c r="P95" s="577"/>
      <c r="Q95" s="577"/>
    </row>
    <row r="96" spans="2:17" s="370" customFormat="1" ht="16.2" thickBot="1" x14ac:dyDescent="0.35">
      <c r="B96" s="575"/>
      <c r="C96" s="576"/>
      <c r="D96" s="576"/>
      <c r="E96" s="576"/>
      <c r="F96" s="577"/>
      <c r="G96" s="577"/>
      <c r="H96" s="577"/>
      <c r="I96" s="577"/>
      <c r="J96" s="577"/>
      <c r="K96" s="577"/>
      <c r="L96" s="577"/>
      <c r="M96" s="577"/>
      <c r="N96" s="577"/>
      <c r="O96" s="577"/>
      <c r="P96" s="577"/>
      <c r="Q96" s="577"/>
    </row>
    <row r="97" spans="2:17" s="368" customFormat="1" ht="28.2" customHeight="1" thickBot="1" x14ac:dyDescent="0.35">
      <c r="B97" s="369"/>
      <c r="C97" s="578" t="s">
        <v>950</v>
      </c>
      <c r="D97" s="797"/>
      <c r="E97" s="798"/>
      <c r="F97" s="799">
        <f>+F64+F94</f>
        <v>2262053.5699999998</v>
      </c>
      <c r="G97" s="799">
        <f>+G64+G94</f>
        <v>1205744.6300000001</v>
      </c>
      <c r="H97" s="579">
        <f t="shared" ref="H97:Q97" si="20">+H64+H94</f>
        <v>0</v>
      </c>
      <c r="I97" s="579">
        <f t="shared" si="20"/>
        <v>0</v>
      </c>
      <c r="J97" s="579">
        <f t="shared" si="20"/>
        <v>0</v>
      </c>
      <c r="K97" s="579">
        <f t="shared" si="20"/>
        <v>0</v>
      </c>
      <c r="L97" s="579">
        <f t="shared" si="20"/>
        <v>0</v>
      </c>
      <c r="M97" s="579">
        <f t="shared" si="20"/>
        <v>0</v>
      </c>
      <c r="N97" s="579">
        <f t="shared" si="20"/>
        <v>2262053.5699999998</v>
      </c>
      <c r="O97" s="579">
        <f t="shared" si="20"/>
        <v>0</v>
      </c>
      <c r="P97" s="579">
        <f t="shared" si="20"/>
        <v>280148.08333333337</v>
      </c>
      <c r="Q97" s="579">
        <f t="shared" si="20"/>
        <v>285</v>
      </c>
    </row>
    <row r="98" spans="2:17" ht="30.6" customHeight="1" thickBot="1" x14ac:dyDescent="0.35">
      <c r="F98" s="800">
        <v>1</v>
      </c>
      <c r="G98" s="801">
        <f>((G97*100%)/F97)</f>
        <v>0.53303097945642386</v>
      </c>
    </row>
    <row r="99" spans="2:17" x14ac:dyDescent="0.3">
      <c r="I99" s="376">
        <f>+I91-H97</f>
        <v>0</v>
      </c>
      <c r="J99" s="383">
        <f>+I99+I82</f>
        <v>0</v>
      </c>
    </row>
    <row r="100" spans="2:17" x14ac:dyDescent="0.3">
      <c r="L100" s="383">
        <f>+L97-M97</f>
        <v>0</v>
      </c>
    </row>
  </sheetData>
  <autoFilter ref="B6:R97"/>
  <mergeCells count="26">
    <mergeCell ref="G69:G71"/>
    <mergeCell ref="H69:M70"/>
    <mergeCell ref="N69:N71"/>
    <mergeCell ref="O69:O71"/>
    <mergeCell ref="P69:P71"/>
    <mergeCell ref="Q69:Q71"/>
    <mergeCell ref="N4:N6"/>
    <mergeCell ref="O4:O6"/>
    <mergeCell ref="P4:P6"/>
    <mergeCell ref="Q4:Q6"/>
    <mergeCell ref="C68:F68"/>
    <mergeCell ref="B69:B71"/>
    <mergeCell ref="C69:C71"/>
    <mergeCell ref="D69:D71"/>
    <mergeCell ref="E69:E71"/>
    <mergeCell ref="F69:F71"/>
    <mergeCell ref="B1:Q1"/>
    <mergeCell ref="B2:Q2"/>
    <mergeCell ref="C3:Q3"/>
    <mergeCell ref="B4:B6"/>
    <mergeCell ref="C4:C6"/>
    <mergeCell ref="D4:D6"/>
    <mergeCell ref="E4:E6"/>
    <mergeCell ref="F4:F6"/>
    <mergeCell ref="G4:G6"/>
    <mergeCell ref="H4:M5"/>
  </mergeCells>
  <pageMargins left="0.25" right="0.25" top="0.75" bottom="0.75" header="0.3" footer="0.3"/>
  <pageSetup paperSize="9" scale="38" fitToHeight="0"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29"/>
  <sheetViews>
    <sheetView workbookViewId="0">
      <selection activeCell="E32" sqref="E32"/>
    </sheetView>
  </sheetViews>
  <sheetFormatPr baseColWidth="10" defaultRowHeight="14.4" x14ac:dyDescent="0.3"/>
  <cols>
    <col min="2" max="2" width="27.6640625" bestFit="1" customWidth="1"/>
    <col min="3" max="4" width="19.33203125" style="348" customWidth="1"/>
    <col min="5" max="5" width="14.88671875" style="348" customWidth="1"/>
  </cols>
  <sheetData>
    <row r="4" spans="2:5" x14ac:dyDescent="0.3">
      <c r="B4" s="750" t="s">
        <v>521</v>
      </c>
      <c r="C4" s="751" t="s">
        <v>930</v>
      </c>
      <c r="D4" s="349" t="s">
        <v>937</v>
      </c>
      <c r="E4" s="349" t="s">
        <v>931</v>
      </c>
    </row>
    <row r="5" spans="2:5" x14ac:dyDescent="0.3">
      <c r="B5" s="750"/>
      <c r="C5" s="751"/>
      <c r="D5" s="350" t="s">
        <v>932</v>
      </c>
      <c r="E5" s="350" t="s">
        <v>933</v>
      </c>
    </row>
    <row r="6" spans="2:5" hidden="1" x14ac:dyDescent="0.3">
      <c r="B6" s="351" t="s">
        <v>523</v>
      </c>
      <c r="C6" s="352" t="e">
        <f>+#REF!</f>
        <v>#REF!</v>
      </c>
      <c r="D6" s="352" t="e">
        <f>SUM(#REF!)</f>
        <v>#REF!</v>
      </c>
      <c r="E6" s="352" t="e">
        <f>+C6+D6</f>
        <v>#REF!</v>
      </c>
    </row>
    <row r="7" spans="2:5" hidden="1" x14ac:dyDescent="0.3">
      <c r="B7" s="351" t="s">
        <v>524</v>
      </c>
      <c r="C7" s="352" t="e">
        <f>+#REF!</f>
        <v>#REF!</v>
      </c>
      <c r="D7" s="352" t="e">
        <f>SUM(#REF!)</f>
        <v>#REF!</v>
      </c>
      <c r="E7" s="352" t="e">
        <f>+C7+D7</f>
        <v>#REF!</v>
      </c>
    </row>
    <row r="8" spans="2:5" x14ac:dyDescent="0.3">
      <c r="B8" s="358" t="s">
        <v>938</v>
      </c>
      <c r="C8" s="353" t="e">
        <f>+C6+C7</f>
        <v>#REF!</v>
      </c>
      <c r="D8" s="353" t="e">
        <f t="shared" ref="D8:E8" si="0">+D6+D7</f>
        <v>#REF!</v>
      </c>
      <c r="E8" s="353" t="e">
        <f t="shared" si="0"/>
        <v>#REF!</v>
      </c>
    </row>
    <row r="9" spans="2:5" x14ac:dyDescent="0.3">
      <c r="B9" s="354"/>
      <c r="C9" s="355"/>
      <c r="D9" s="355"/>
      <c r="E9" s="355"/>
    </row>
    <row r="10" spans="2:5" x14ac:dyDescent="0.3">
      <c r="B10" s="750" t="s">
        <v>520</v>
      </c>
      <c r="C10" s="752" t="s">
        <v>930</v>
      </c>
      <c r="D10" s="349" t="s">
        <v>937</v>
      </c>
      <c r="E10" s="349" t="s">
        <v>931</v>
      </c>
    </row>
    <row r="11" spans="2:5" x14ac:dyDescent="0.3">
      <c r="B11" s="750"/>
      <c r="C11" s="752"/>
      <c r="D11" s="350" t="s">
        <v>932</v>
      </c>
      <c r="E11" s="350" t="s">
        <v>933</v>
      </c>
    </row>
    <row r="12" spans="2:5" ht="15" customHeight="1" x14ac:dyDescent="0.3">
      <c r="B12" s="356" t="s">
        <v>934</v>
      </c>
      <c r="C12" s="753" t="s">
        <v>900</v>
      </c>
      <c r="D12" s="753"/>
      <c r="E12" s="753"/>
    </row>
    <row r="13" spans="2:5" x14ac:dyDescent="0.3">
      <c r="B13" s="351" t="s">
        <v>579</v>
      </c>
      <c r="C13" s="352" t="e">
        <f>+#REF!</f>
        <v>#REF!</v>
      </c>
      <c r="D13" s="352" t="e">
        <f>SUM(#REF!)</f>
        <v>#REF!</v>
      </c>
      <c r="E13" s="352" t="e">
        <f>+C13+D13</f>
        <v>#REF!</v>
      </c>
    </row>
    <row r="14" spans="2:5" x14ac:dyDescent="0.3">
      <c r="B14" s="351" t="s">
        <v>580</v>
      </c>
      <c r="C14" s="352" t="e">
        <f>+#REF!</f>
        <v>#REF!</v>
      </c>
      <c r="D14" s="352" t="e">
        <f>+#REF!</f>
        <v>#REF!</v>
      </c>
      <c r="E14" s="352" t="e">
        <f>+C14+D14</f>
        <v>#REF!</v>
      </c>
    </row>
    <row r="15" spans="2:5" x14ac:dyDescent="0.3">
      <c r="B15" s="357" t="s">
        <v>934</v>
      </c>
      <c r="C15" s="749" t="s">
        <v>899</v>
      </c>
      <c r="D15" s="749"/>
      <c r="E15" s="749"/>
    </row>
    <row r="16" spans="2:5" x14ac:dyDescent="0.3">
      <c r="B16" s="351" t="s">
        <v>579</v>
      </c>
      <c r="C16" s="352" t="e">
        <f>+#REF!</f>
        <v>#REF!</v>
      </c>
      <c r="D16" s="352" t="e">
        <f>+#REF!</f>
        <v>#REF!</v>
      </c>
      <c r="E16" s="352" t="e">
        <f>+#REF!</f>
        <v>#REF!</v>
      </c>
    </row>
    <row r="17" spans="2:7" x14ac:dyDescent="0.3">
      <c r="B17" s="351" t="s">
        <v>935</v>
      </c>
      <c r="C17" s="352" t="e">
        <f>+#REF!</f>
        <v>#REF!</v>
      </c>
      <c r="D17" s="352" t="e">
        <f>+#REF!</f>
        <v>#REF!</v>
      </c>
      <c r="E17" s="352" t="e">
        <f>+C17+D17</f>
        <v>#REF!</v>
      </c>
    </row>
    <row r="18" spans="2:7" x14ac:dyDescent="0.3">
      <c r="B18" s="351" t="s">
        <v>580</v>
      </c>
      <c r="C18" s="352" t="e">
        <f>+#REF!</f>
        <v>#REF!</v>
      </c>
      <c r="D18" s="352" t="e">
        <f>+#REF!</f>
        <v>#REF!</v>
      </c>
      <c r="E18" s="352" t="e">
        <f>+C18+D18</f>
        <v>#REF!</v>
      </c>
    </row>
    <row r="19" spans="2:7" x14ac:dyDescent="0.3">
      <c r="B19" s="358" t="s">
        <v>939</v>
      </c>
      <c r="C19" s="353" t="e">
        <f>+C13+C14+C16+C17+C18</f>
        <v>#REF!</v>
      </c>
      <c r="D19" s="353" t="e">
        <f>+D13+D14+D16+D17+D18</f>
        <v>#REF!</v>
      </c>
      <c r="E19" s="353" t="e">
        <f t="shared" ref="E19" si="1">+E13+E14+E16+E17+E18</f>
        <v>#REF!</v>
      </c>
    </row>
    <row r="20" spans="2:7" x14ac:dyDescent="0.3">
      <c r="B20" s="358" t="s">
        <v>936</v>
      </c>
      <c r="C20" s="353">
        <v>0</v>
      </c>
      <c r="D20" s="353">
        <v>0</v>
      </c>
      <c r="E20" s="353">
        <v>0</v>
      </c>
    </row>
    <row r="26" spans="2:7" x14ac:dyDescent="0.3">
      <c r="D26" s="348" t="s">
        <v>945</v>
      </c>
      <c r="E26" s="348" t="s">
        <v>946</v>
      </c>
      <c r="F26" t="s">
        <v>947</v>
      </c>
      <c r="G26" s="348" t="s">
        <v>948</v>
      </c>
    </row>
    <row r="27" spans="2:7" x14ac:dyDescent="0.3">
      <c r="D27" s="348">
        <v>988757.84</v>
      </c>
      <c r="E27" s="348">
        <v>296301.06</v>
      </c>
      <c r="F27">
        <v>959623.83</v>
      </c>
      <c r="G27" s="348">
        <v>267167.05</v>
      </c>
    </row>
    <row r="29" spans="2:7" x14ac:dyDescent="0.3">
      <c r="D29" s="348">
        <f>+D27-F27</f>
        <v>29134.010000000009</v>
      </c>
      <c r="E29" s="348">
        <f>+E27-G27</f>
        <v>29134.010000000009</v>
      </c>
    </row>
  </sheetData>
  <mergeCells count="6">
    <mergeCell ref="C15:E15"/>
    <mergeCell ref="B4:B5"/>
    <mergeCell ref="C4:C5"/>
    <mergeCell ref="B10:B11"/>
    <mergeCell ref="C10:C11"/>
    <mergeCell ref="C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02"/>
  <sheetViews>
    <sheetView topLeftCell="A16" zoomScale="78" zoomScaleNormal="78" workbookViewId="0">
      <selection activeCell="J53" sqref="J53"/>
    </sheetView>
  </sheetViews>
  <sheetFormatPr baseColWidth="10" defaultColWidth="11.5546875" defaultRowHeight="14.4" x14ac:dyDescent="0.3"/>
  <cols>
    <col min="1" max="1" width="27.5546875" style="123" customWidth="1"/>
    <col min="2" max="3" width="10.6640625" style="123" hidden="1" customWidth="1"/>
    <col min="4" max="4" width="14" style="123" hidden="1" customWidth="1"/>
    <col min="5" max="5" width="11.33203125" style="123" hidden="1" customWidth="1"/>
    <col min="6" max="6" width="15.44140625" style="123" customWidth="1"/>
    <col min="7" max="7" width="15.33203125" style="123" customWidth="1"/>
    <col min="8" max="8" width="16.6640625" style="123" customWidth="1"/>
    <col min="9" max="9" width="15.6640625" style="123" customWidth="1"/>
    <col min="10" max="10" width="17.88671875" style="123" customWidth="1"/>
    <col min="11" max="11" width="10.33203125" style="123" customWidth="1"/>
    <col min="12" max="12" width="14.44140625" style="123" customWidth="1"/>
    <col min="13" max="13" width="15.33203125" style="123" customWidth="1"/>
    <col min="14" max="14" width="15.88671875" style="123" customWidth="1"/>
    <col min="15" max="17" width="12.33203125" style="123" customWidth="1"/>
    <col min="18" max="18" width="14.109375" style="123" customWidth="1"/>
    <col min="19" max="19" width="13.88671875" style="123" customWidth="1"/>
    <col min="20" max="20" width="16.5546875" style="123" customWidth="1"/>
    <col min="21" max="16384" width="11.5546875" style="123"/>
  </cols>
  <sheetData>
    <row r="2" spans="1:20" x14ac:dyDescent="0.3">
      <c r="A2" s="755" t="s">
        <v>1</v>
      </c>
      <c r="B2" s="755"/>
      <c r="C2" s="755"/>
      <c r="D2" s="755"/>
      <c r="E2" s="755"/>
      <c r="F2" s="755"/>
      <c r="G2" s="755"/>
      <c r="H2" s="755"/>
    </row>
    <row r="3" spans="1:20" x14ac:dyDescent="0.3">
      <c r="A3" s="756" t="s">
        <v>861</v>
      </c>
      <c r="B3" s="756"/>
      <c r="C3" s="756"/>
      <c r="D3" s="756"/>
      <c r="E3" s="756"/>
      <c r="F3" s="756"/>
      <c r="G3" s="756"/>
      <c r="H3" s="756"/>
    </row>
    <row r="4" spans="1:20" x14ac:dyDescent="0.3">
      <c r="A4" s="756" t="s">
        <v>862</v>
      </c>
      <c r="B4" s="756"/>
      <c r="C4" s="756"/>
      <c r="D4" s="756"/>
      <c r="E4" s="756"/>
      <c r="F4" s="756"/>
      <c r="G4" s="756"/>
      <c r="H4" s="756"/>
    </row>
    <row r="6" spans="1:20" x14ac:dyDescent="0.3">
      <c r="A6" s="757" t="s">
        <v>863</v>
      </c>
      <c r="B6" s="755"/>
      <c r="C6" s="755"/>
      <c r="D6" s="755"/>
      <c r="E6" s="755"/>
      <c r="F6" s="755"/>
      <c r="G6" s="755"/>
      <c r="H6" s="755"/>
      <c r="I6" s="755"/>
      <c r="J6" s="755"/>
      <c r="K6" s="755"/>
    </row>
    <row r="7" spans="1:20" s="270" customFormat="1" x14ac:dyDescent="0.3">
      <c r="A7" s="268" t="s">
        <v>644</v>
      </c>
      <c r="B7" s="269"/>
      <c r="C7" s="269"/>
      <c r="D7" s="269"/>
      <c r="E7" s="269"/>
      <c r="F7" s="758" t="s">
        <v>645</v>
      </c>
      <c r="G7" s="758"/>
      <c r="H7" s="758"/>
      <c r="I7" s="758"/>
      <c r="J7" s="758"/>
      <c r="K7" s="758"/>
      <c r="L7" s="758"/>
      <c r="M7" s="758"/>
      <c r="N7" s="758"/>
      <c r="O7" s="758"/>
      <c r="P7" s="758"/>
      <c r="Q7" s="758"/>
      <c r="R7" s="758"/>
      <c r="S7" s="758"/>
      <c r="T7" s="758"/>
    </row>
    <row r="8" spans="1:20" s="270" customFormat="1" x14ac:dyDescent="0.3">
      <c r="A8" s="268" t="s">
        <v>864</v>
      </c>
      <c r="B8" s="271"/>
      <c r="C8" s="271"/>
      <c r="D8" s="271"/>
      <c r="E8" s="271"/>
      <c r="F8" s="759" t="s">
        <v>650</v>
      </c>
      <c r="G8" s="759"/>
      <c r="H8" s="759"/>
      <c r="I8" s="760" t="s">
        <v>656</v>
      </c>
      <c r="J8" s="760"/>
      <c r="K8" s="760"/>
      <c r="L8" s="759" t="s">
        <v>668</v>
      </c>
      <c r="M8" s="759"/>
      <c r="N8" s="759"/>
      <c r="O8" s="760" t="s">
        <v>837</v>
      </c>
      <c r="P8" s="760"/>
      <c r="Q8" s="760"/>
      <c r="R8" s="759" t="s">
        <v>679</v>
      </c>
      <c r="S8" s="759"/>
      <c r="T8" s="759"/>
    </row>
    <row r="9" spans="1:20" s="275" customFormat="1" ht="31.2" customHeight="1" x14ac:dyDescent="0.3">
      <c r="A9" s="272" t="s">
        <v>865</v>
      </c>
      <c r="B9" s="273"/>
      <c r="C9" s="273"/>
      <c r="D9" s="273"/>
      <c r="E9" s="273"/>
      <c r="F9" s="754" t="s">
        <v>832</v>
      </c>
      <c r="G9" s="754"/>
      <c r="H9" s="754"/>
      <c r="I9" s="763" t="s">
        <v>833</v>
      </c>
      <c r="J9" s="763"/>
      <c r="K9" s="763"/>
      <c r="L9" s="754" t="s">
        <v>836</v>
      </c>
      <c r="M9" s="754"/>
      <c r="N9" s="754"/>
      <c r="O9" s="274" t="s">
        <v>866</v>
      </c>
      <c r="P9" s="274"/>
      <c r="Q9" s="274"/>
      <c r="R9" s="754" t="s">
        <v>867</v>
      </c>
      <c r="S9" s="754"/>
      <c r="T9" s="754"/>
    </row>
    <row r="10" spans="1:20" s="278" customFormat="1" x14ac:dyDescent="0.3">
      <c r="A10" s="268" t="s">
        <v>868</v>
      </c>
      <c r="B10" s="269">
        <v>2019</v>
      </c>
      <c r="C10" s="269">
        <v>2020</v>
      </c>
      <c r="D10" s="269">
        <v>2021</v>
      </c>
      <c r="E10" s="269">
        <v>2022</v>
      </c>
      <c r="F10" s="276">
        <v>2023</v>
      </c>
      <c r="G10" s="276">
        <v>2024</v>
      </c>
      <c r="H10" s="276">
        <v>2025</v>
      </c>
      <c r="I10" s="277">
        <v>2023</v>
      </c>
      <c r="J10" s="277">
        <v>2024</v>
      </c>
      <c r="K10" s="277">
        <v>2025</v>
      </c>
      <c r="L10" s="276">
        <v>2023</v>
      </c>
      <c r="M10" s="276">
        <v>2024</v>
      </c>
      <c r="N10" s="276">
        <v>2025</v>
      </c>
      <c r="O10" s="277">
        <v>2023</v>
      </c>
      <c r="P10" s="277">
        <v>2024</v>
      </c>
      <c r="Q10" s="277">
        <v>2025</v>
      </c>
      <c r="R10" s="276">
        <v>2023</v>
      </c>
      <c r="S10" s="276">
        <v>2024</v>
      </c>
      <c r="T10" s="276">
        <v>2025</v>
      </c>
    </row>
    <row r="11" spans="1:20" x14ac:dyDescent="0.3">
      <c r="A11" s="279" t="s">
        <v>869</v>
      </c>
      <c r="B11" s="280">
        <v>3233.77</v>
      </c>
      <c r="C11" s="280">
        <v>3929.55</v>
      </c>
      <c r="D11" s="280">
        <v>4424</v>
      </c>
      <c r="E11" s="281">
        <v>2967.5</v>
      </c>
      <c r="F11" s="282">
        <v>5562.22</v>
      </c>
      <c r="G11" s="283">
        <v>4022.59</v>
      </c>
      <c r="H11" s="283">
        <v>4130</v>
      </c>
      <c r="I11" s="284">
        <v>8.51</v>
      </c>
      <c r="J11" s="285">
        <v>4.57</v>
      </c>
      <c r="K11" s="285">
        <v>7.14</v>
      </c>
      <c r="L11" s="283"/>
      <c r="M11" s="283"/>
      <c r="N11" s="283"/>
      <c r="O11" s="284">
        <v>903</v>
      </c>
      <c r="P11" s="285">
        <v>753</v>
      </c>
      <c r="Q11" s="285">
        <v>906</v>
      </c>
      <c r="R11" s="282">
        <v>53262.89</v>
      </c>
      <c r="S11" s="283">
        <v>74059.509999999995</v>
      </c>
      <c r="T11" s="283">
        <v>88313.44</v>
      </c>
    </row>
    <row r="12" spans="1:20" x14ac:dyDescent="0.3">
      <c r="A12" s="279" t="s">
        <v>870</v>
      </c>
      <c r="B12" s="280">
        <v>12030.2</v>
      </c>
      <c r="C12" s="280">
        <v>4405</v>
      </c>
      <c r="D12" s="280">
        <v>6298.2</v>
      </c>
      <c r="E12" s="281">
        <v>3937.5</v>
      </c>
      <c r="F12" s="282">
        <v>13997</v>
      </c>
      <c r="G12" s="283">
        <v>4152.46</v>
      </c>
      <c r="H12" s="283">
        <v>13997</v>
      </c>
      <c r="I12" s="284">
        <v>10.01</v>
      </c>
      <c r="J12" s="285">
        <v>6.86</v>
      </c>
      <c r="K12" s="285">
        <v>7.92</v>
      </c>
      <c r="L12" s="283"/>
      <c r="M12" s="283"/>
      <c r="N12" s="283"/>
      <c r="O12" s="284">
        <v>780</v>
      </c>
      <c r="P12" s="285">
        <v>795</v>
      </c>
      <c r="Q12" s="285">
        <v>1092</v>
      </c>
      <c r="R12" s="282">
        <v>0</v>
      </c>
      <c r="S12" s="283">
        <v>76988.09</v>
      </c>
      <c r="T12" s="283">
        <v>95353.919999999998</v>
      </c>
    </row>
    <row r="13" spans="1:20" x14ac:dyDescent="0.3">
      <c r="A13" s="279" t="s">
        <v>871</v>
      </c>
      <c r="B13" s="280">
        <v>5014.3999999999996</v>
      </c>
      <c r="C13" s="280">
        <v>2750</v>
      </c>
      <c r="D13" s="280">
        <v>6420.5</v>
      </c>
      <c r="E13" s="281">
        <v>5710</v>
      </c>
      <c r="F13" s="282">
        <v>6906.4</v>
      </c>
      <c r="G13" s="283">
        <v>12863.95</v>
      </c>
      <c r="H13" s="283">
        <v>5478</v>
      </c>
      <c r="I13" s="284">
        <v>10.97</v>
      </c>
      <c r="J13" s="285">
        <v>6.19</v>
      </c>
      <c r="K13" s="285">
        <v>8.52</v>
      </c>
      <c r="L13" s="283"/>
      <c r="M13" s="283"/>
      <c r="N13" s="283"/>
      <c r="O13" s="284">
        <v>1251</v>
      </c>
      <c r="P13" s="285">
        <v>1158</v>
      </c>
      <c r="Q13" s="285">
        <v>759</v>
      </c>
      <c r="R13" s="282">
        <v>77459.78</v>
      </c>
      <c r="S13" s="283">
        <v>82054.95</v>
      </c>
      <c r="T13" s="283">
        <v>77991.8</v>
      </c>
    </row>
    <row r="14" spans="1:20" x14ac:dyDescent="0.3">
      <c r="A14" s="279" t="s">
        <v>872</v>
      </c>
      <c r="B14" s="280">
        <v>6375.22</v>
      </c>
      <c r="C14" s="280"/>
      <c r="D14" s="280">
        <v>5087.5</v>
      </c>
      <c r="E14" s="281">
        <v>5817.5</v>
      </c>
      <c r="F14" s="282">
        <v>5640.84</v>
      </c>
      <c r="G14" s="283">
        <v>8207</v>
      </c>
      <c r="H14" s="283">
        <v>5761.75</v>
      </c>
      <c r="I14" s="284">
        <v>8.41</v>
      </c>
      <c r="J14" s="285">
        <v>6.97</v>
      </c>
      <c r="K14" s="285">
        <v>6.67</v>
      </c>
      <c r="L14" s="283">
        <v>118864.12</v>
      </c>
      <c r="M14" s="283"/>
      <c r="N14" s="283"/>
      <c r="O14" s="284">
        <v>675</v>
      </c>
      <c r="P14" s="285">
        <v>1074</v>
      </c>
      <c r="Q14" s="285"/>
      <c r="R14" s="282">
        <v>128617.94</v>
      </c>
      <c r="S14" s="283">
        <v>85245.1</v>
      </c>
      <c r="T14" s="283">
        <v>81371.89</v>
      </c>
    </row>
    <row r="15" spans="1:20" x14ac:dyDescent="0.3">
      <c r="A15" s="279" t="s">
        <v>873</v>
      </c>
      <c r="B15" s="280">
        <v>7422</v>
      </c>
      <c r="C15" s="280"/>
      <c r="D15" s="280">
        <v>3411.38</v>
      </c>
      <c r="E15" s="281">
        <v>5138.7</v>
      </c>
      <c r="F15" s="282">
        <v>10655.31</v>
      </c>
      <c r="G15" s="283">
        <v>5397.92</v>
      </c>
      <c r="H15" s="283">
        <v>6758.2</v>
      </c>
      <c r="I15" s="284">
        <v>1.46</v>
      </c>
      <c r="J15" s="285">
        <v>5.69</v>
      </c>
      <c r="K15" s="285">
        <v>8.39</v>
      </c>
      <c r="L15" s="283"/>
      <c r="M15" s="283"/>
      <c r="N15" s="283"/>
      <c r="O15" s="284">
        <v>87</v>
      </c>
      <c r="P15" s="285">
        <v>915</v>
      </c>
      <c r="Q15" s="285"/>
      <c r="R15" s="282">
        <v>170789.11</v>
      </c>
      <c r="S15" s="283">
        <v>82001.5</v>
      </c>
      <c r="T15" s="283">
        <v>94552.59</v>
      </c>
    </row>
    <row r="16" spans="1:20" x14ac:dyDescent="0.3">
      <c r="A16" s="279" t="s">
        <v>444</v>
      </c>
      <c r="B16" s="280">
        <v>8941.5</v>
      </c>
      <c r="C16" s="280">
        <v>1420</v>
      </c>
      <c r="D16" s="280">
        <v>7435</v>
      </c>
      <c r="E16" s="281">
        <v>3129.5</v>
      </c>
      <c r="F16" s="282">
        <v>7499.03</v>
      </c>
      <c r="G16" s="283">
        <v>4615</v>
      </c>
      <c r="H16" s="283">
        <v>5794</v>
      </c>
      <c r="I16" s="284">
        <v>7.75</v>
      </c>
      <c r="J16" s="285">
        <v>5.99</v>
      </c>
      <c r="K16" s="285">
        <v>8.99</v>
      </c>
      <c r="L16" s="283"/>
      <c r="M16" s="283"/>
      <c r="N16" s="283">
        <v>150821.07999999999</v>
      </c>
      <c r="O16" s="284">
        <v>1173</v>
      </c>
      <c r="P16" s="285">
        <v>672</v>
      </c>
      <c r="Q16" s="285"/>
      <c r="R16" s="282">
        <v>0</v>
      </c>
      <c r="S16" s="283">
        <v>89500.09</v>
      </c>
      <c r="T16" s="283">
        <v>88319.98</v>
      </c>
    </row>
    <row r="17" spans="1:20" x14ac:dyDescent="0.3">
      <c r="A17" s="279" t="s">
        <v>536</v>
      </c>
      <c r="B17" s="280">
        <v>8759.5</v>
      </c>
      <c r="C17" s="280">
        <v>1844.13</v>
      </c>
      <c r="D17" s="280">
        <v>6731.5</v>
      </c>
      <c r="E17" s="281">
        <v>4542.6899999999996</v>
      </c>
      <c r="F17" s="282">
        <v>4483</v>
      </c>
      <c r="G17" s="283">
        <v>7311.34</v>
      </c>
      <c r="H17" s="283">
        <v>8296</v>
      </c>
      <c r="I17" s="284">
        <v>4.43</v>
      </c>
      <c r="J17" s="285">
        <v>9.9</v>
      </c>
      <c r="K17" s="285">
        <v>15.78</v>
      </c>
      <c r="L17" s="283"/>
      <c r="M17" s="283">
        <v>150116.07</v>
      </c>
      <c r="N17" s="283"/>
      <c r="O17" s="284">
        <v>540</v>
      </c>
      <c r="P17" s="285">
        <v>1311</v>
      </c>
      <c r="Q17" s="285"/>
      <c r="R17" s="282">
        <v>157287.33000000002</v>
      </c>
      <c r="S17" s="283">
        <v>82516.91</v>
      </c>
      <c r="T17" s="283">
        <v>78502.39</v>
      </c>
    </row>
    <row r="18" spans="1:20" x14ac:dyDescent="0.3">
      <c r="A18" s="279" t="s">
        <v>537</v>
      </c>
      <c r="B18" s="280">
        <v>6353.5</v>
      </c>
      <c r="C18" s="280">
        <v>1708.71</v>
      </c>
      <c r="D18" s="280">
        <v>14107.95</v>
      </c>
      <c r="E18" s="281">
        <v>6746.92</v>
      </c>
      <c r="F18" s="282">
        <v>6233.9</v>
      </c>
      <c r="G18" s="283">
        <v>4783.1099999999997</v>
      </c>
      <c r="H18" s="286">
        <f>AVERAGE(H11:H17)</f>
        <v>7173.5642857142857</v>
      </c>
      <c r="I18" s="284">
        <v>5.58</v>
      </c>
      <c r="J18" s="285">
        <v>5.97</v>
      </c>
      <c r="K18" s="286">
        <f>AVERAGE(K11:K17)</f>
        <v>9.0585714285714296</v>
      </c>
      <c r="L18" s="283"/>
      <c r="M18" s="283"/>
      <c r="N18" s="287">
        <v>0</v>
      </c>
      <c r="O18" s="284">
        <v>1155</v>
      </c>
      <c r="P18" s="285">
        <v>738</v>
      </c>
      <c r="Q18" s="287">
        <v>0</v>
      </c>
      <c r="R18" s="282">
        <v>76427.149999999994</v>
      </c>
      <c r="S18" s="283">
        <v>84509.56</v>
      </c>
      <c r="T18" s="286">
        <f>AVERAGE(R18:S18)</f>
        <v>80468.354999999996</v>
      </c>
    </row>
    <row r="19" spans="1:20" x14ac:dyDescent="0.3">
      <c r="A19" s="279" t="s">
        <v>538</v>
      </c>
      <c r="B19" s="280">
        <v>3645.99</v>
      </c>
      <c r="C19" s="280">
        <v>9275.9699999999993</v>
      </c>
      <c r="D19" s="280">
        <v>4283.1499999999996</v>
      </c>
      <c r="E19" s="281">
        <v>5461.73</v>
      </c>
      <c r="F19" s="282">
        <v>10322.799999999999</v>
      </c>
      <c r="G19" s="283">
        <v>4585.41</v>
      </c>
      <c r="H19" s="286">
        <v>7173.5642857142857</v>
      </c>
      <c r="I19" s="284">
        <v>11.39</v>
      </c>
      <c r="J19" s="285">
        <v>3.98</v>
      </c>
      <c r="K19" s="286">
        <v>9.0585714285714296</v>
      </c>
      <c r="L19" s="283"/>
      <c r="M19" s="283"/>
      <c r="N19" s="287">
        <v>0</v>
      </c>
      <c r="O19" s="284">
        <v>1581</v>
      </c>
      <c r="P19" s="285">
        <v>564</v>
      </c>
      <c r="Q19" s="287">
        <v>0</v>
      </c>
      <c r="R19" s="282">
        <v>83479.17</v>
      </c>
      <c r="S19" s="283">
        <v>86476.800000000003</v>
      </c>
      <c r="T19" s="286">
        <f t="shared" ref="T19:T22" si="0">AVERAGE(R19:S19)</f>
        <v>84977.985000000001</v>
      </c>
    </row>
    <row r="20" spans="1:20" x14ac:dyDescent="0.3">
      <c r="A20" s="279" t="s">
        <v>539</v>
      </c>
      <c r="B20" s="280">
        <v>3274.75</v>
      </c>
      <c r="C20" s="280">
        <v>2495.62</v>
      </c>
      <c r="D20" s="280">
        <v>6207.86</v>
      </c>
      <c r="E20" s="281">
        <v>5995.7</v>
      </c>
      <c r="F20" s="282">
        <v>5944.53</v>
      </c>
      <c r="G20" s="283">
        <v>3099.88</v>
      </c>
      <c r="H20" s="286">
        <v>7173.5642857142857</v>
      </c>
      <c r="I20" s="284">
        <v>7.16</v>
      </c>
      <c r="J20" s="285">
        <v>3.47</v>
      </c>
      <c r="K20" s="286">
        <v>9.0585714285714296</v>
      </c>
      <c r="L20" s="288">
        <v>56937.33</v>
      </c>
      <c r="M20" s="283"/>
      <c r="N20" s="287">
        <v>0</v>
      </c>
      <c r="O20" s="284">
        <v>849</v>
      </c>
      <c r="P20" s="285">
        <v>474</v>
      </c>
      <c r="Q20" s="287">
        <v>0</v>
      </c>
      <c r="R20" s="282">
        <v>77266.3</v>
      </c>
      <c r="S20" s="283">
        <v>81029.100000000006</v>
      </c>
      <c r="T20" s="286">
        <f t="shared" si="0"/>
        <v>79147.700000000012</v>
      </c>
    </row>
    <row r="21" spans="1:20" x14ac:dyDescent="0.3">
      <c r="A21" s="128" t="s">
        <v>543</v>
      </c>
      <c r="B21" s="280">
        <v>3360</v>
      </c>
      <c r="C21" s="280">
        <v>3509.3</v>
      </c>
      <c r="D21" s="280">
        <v>6762.77</v>
      </c>
      <c r="E21" s="281">
        <v>5057.1000000000004</v>
      </c>
      <c r="F21" s="283">
        <v>5044.5600000000004</v>
      </c>
      <c r="G21" s="283">
        <v>2976</v>
      </c>
      <c r="H21" s="286">
        <v>7173.5642857142857</v>
      </c>
      <c r="I21" s="285">
        <v>3.41</v>
      </c>
      <c r="J21" s="285">
        <v>3.63</v>
      </c>
      <c r="K21" s="286">
        <v>9.0585714285714296</v>
      </c>
      <c r="L21" s="283"/>
      <c r="M21" s="283">
        <v>33962.300000000003</v>
      </c>
      <c r="N21" s="287">
        <v>0</v>
      </c>
      <c r="O21" s="285">
        <v>576</v>
      </c>
      <c r="P21" s="285">
        <v>279</v>
      </c>
      <c r="Q21" s="287">
        <v>0</v>
      </c>
      <c r="R21" s="283">
        <v>75621.84</v>
      </c>
      <c r="S21" s="283">
        <v>81376.67</v>
      </c>
      <c r="T21" s="286">
        <f t="shared" si="0"/>
        <v>78499.255000000005</v>
      </c>
    </row>
    <row r="22" spans="1:20" x14ac:dyDescent="0.3">
      <c r="A22" s="128" t="s">
        <v>874</v>
      </c>
      <c r="B22" s="280">
        <v>2751.65</v>
      </c>
      <c r="C22" s="280">
        <v>5359.37</v>
      </c>
      <c r="D22" s="280">
        <v>7661.77</v>
      </c>
      <c r="E22" s="281">
        <v>4632.9799999999996</v>
      </c>
      <c r="F22" s="283">
        <v>4831.5200000000004</v>
      </c>
      <c r="G22" s="283">
        <v>2919</v>
      </c>
      <c r="H22" s="286">
        <v>7173.5642857142857</v>
      </c>
      <c r="I22" s="285">
        <v>4.34</v>
      </c>
      <c r="J22" s="285">
        <v>5.85</v>
      </c>
      <c r="K22" s="286">
        <v>9.0585714285714296</v>
      </c>
      <c r="L22" s="283">
        <v>14631.02</v>
      </c>
      <c r="M22" s="283"/>
      <c r="N22" s="286">
        <f>AVERAGE(L20:M22)</f>
        <v>35176.883333333339</v>
      </c>
      <c r="O22" s="285">
        <v>300</v>
      </c>
      <c r="P22" s="285">
        <v>258</v>
      </c>
      <c r="Q22" s="287">
        <v>0</v>
      </c>
      <c r="R22" s="283">
        <v>76417.75</v>
      </c>
      <c r="S22" s="283">
        <v>84870.57</v>
      </c>
      <c r="T22" s="286">
        <f t="shared" si="0"/>
        <v>80644.160000000003</v>
      </c>
    </row>
    <row r="23" spans="1:20" x14ac:dyDescent="0.3">
      <c r="A23" s="128" t="s">
        <v>875</v>
      </c>
      <c r="B23" s="289">
        <f t="shared" ref="B23:E23" si="1">SUM(B11:B22)</f>
        <v>71162.48</v>
      </c>
      <c r="C23" s="289">
        <f t="shared" si="1"/>
        <v>36697.65</v>
      </c>
      <c r="D23" s="289">
        <f t="shared" si="1"/>
        <v>78831.58</v>
      </c>
      <c r="E23" s="290">
        <f t="shared" si="1"/>
        <v>59137.819999999992</v>
      </c>
      <c r="F23" s="291">
        <f>SUM(F11:F22)</f>
        <v>87121.11</v>
      </c>
      <c r="G23" s="291">
        <f t="shared" ref="G23" si="2">SUM(G11:G22)</f>
        <v>64933.659999999996</v>
      </c>
      <c r="H23" s="286">
        <f>SUM(H11:H22)</f>
        <v>86082.771428571417</v>
      </c>
      <c r="I23" s="292">
        <f>SUM(I11:I22)</f>
        <v>83.42</v>
      </c>
      <c r="J23" s="292">
        <f t="shared" ref="J23" si="3">SUM(J11:J22)</f>
        <v>69.069999999999993</v>
      </c>
      <c r="K23" s="286">
        <f>SUM(K11:K22)</f>
        <v>108.70285714285714</v>
      </c>
      <c r="L23" s="291">
        <f>SUM(L11:L22)</f>
        <v>190432.47</v>
      </c>
      <c r="M23" s="291">
        <f>SUM(M11:M22)</f>
        <v>184078.37</v>
      </c>
      <c r="N23" s="286">
        <f t="shared" ref="N23" si="4">SUM(N11:N22)</f>
        <v>185997.96333333332</v>
      </c>
      <c r="O23" s="292">
        <f t="shared" ref="O23:T23" si="5">SUM(O11:O22)</f>
        <v>9870</v>
      </c>
      <c r="P23" s="292">
        <f t="shared" si="5"/>
        <v>8991</v>
      </c>
      <c r="Q23" s="286">
        <f t="shared" si="5"/>
        <v>2757</v>
      </c>
      <c r="R23" s="291">
        <f t="shared" si="5"/>
        <v>976629.26000000013</v>
      </c>
      <c r="S23" s="291">
        <f t="shared" si="5"/>
        <v>990628.85000000009</v>
      </c>
      <c r="T23" s="286">
        <f t="shared" si="5"/>
        <v>1008143.4650000001</v>
      </c>
    </row>
    <row r="24" spans="1:20" s="298" customFormat="1" x14ac:dyDescent="0.3">
      <c r="A24" s="296" t="s">
        <v>876</v>
      </c>
      <c r="B24" s="297"/>
      <c r="C24" s="297"/>
      <c r="D24" s="297"/>
      <c r="E24" s="297"/>
      <c r="F24" s="297"/>
      <c r="G24" s="297"/>
      <c r="H24" s="297">
        <v>91200</v>
      </c>
      <c r="I24" s="297"/>
      <c r="J24" s="297"/>
      <c r="K24" s="297">
        <v>83</v>
      </c>
      <c r="L24" s="297"/>
      <c r="M24" s="297"/>
      <c r="N24" s="297">
        <v>190000</v>
      </c>
      <c r="O24" s="297"/>
      <c r="P24" s="297"/>
      <c r="Q24" s="297">
        <v>10000</v>
      </c>
      <c r="R24" s="297"/>
      <c r="S24" s="297"/>
      <c r="T24" s="297">
        <v>990000</v>
      </c>
    </row>
    <row r="25" spans="1:20" s="129" customFormat="1" x14ac:dyDescent="0.3">
      <c r="A25" s="273" t="s">
        <v>877</v>
      </c>
      <c r="B25" s="127"/>
      <c r="C25" s="127"/>
      <c r="D25" s="127"/>
      <c r="E25" s="126"/>
      <c r="F25" s="127"/>
      <c r="G25" s="127"/>
      <c r="H25" s="301">
        <f>+H24-H23</f>
        <v>5117.2285714285827</v>
      </c>
      <c r="I25" s="127"/>
      <c r="J25" s="127"/>
      <c r="K25" s="299">
        <f>+K23-K24</f>
        <v>25.702857142857141</v>
      </c>
      <c r="L25" s="127"/>
      <c r="M25" s="127"/>
      <c r="N25" s="301">
        <f>+N24-N23</f>
        <v>4002.0366666666814</v>
      </c>
      <c r="O25" s="127"/>
      <c r="P25" s="127"/>
      <c r="Q25" s="301">
        <f>+Q24-Q23</f>
        <v>7243</v>
      </c>
      <c r="R25" s="127"/>
      <c r="S25" s="300"/>
      <c r="T25" s="299">
        <f>+T23-T24</f>
        <v>18143.465000000084</v>
      </c>
    </row>
    <row r="26" spans="1:20" x14ac:dyDescent="0.3">
      <c r="F26" s="124"/>
    </row>
    <row r="27" spans="1:20" x14ac:dyDescent="0.3">
      <c r="F27" s="293"/>
      <c r="T27" s="293"/>
    </row>
    <row r="28" spans="1:20" x14ac:dyDescent="0.3">
      <c r="A28" s="294"/>
      <c r="B28" s="294"/>
      <c r="C28" s="294"/>
      <c r="D28" s="294"/>
      <c r="E28" s="294"/>
      <c r="F28" s="294"/>
      <c r="S28" s="295"/>
      <c r="T28" s="124"/>
    </row>
    <row r="30" spans="1:20" x14ac:dyDescent="0.3">
      <c r="A30" s="268" t="s">
        <v>683</v>
      </c>
      <c r="B30" s="271"/>
      <c r="C30" s="271"/>
      <c r="D30" s="271"/>
      <c r="E30" s="271"/>
      <c r="F30" s="764" t="s">
        <v>684</v>
      </c>
      <c r="G30" s="764"/>
      <c r="H30" s="764"/>
    </row>
    <row r="31" spans="1:20" x14ac:dyDescent="0.3">
      <c r="A31" s="268" t="s">
        <v>864</v>
      </c>
      <c r="B31" s="128"/>
      <c r="C31" s="128"/>
      <c r="D31" s="128"/>
      <c r="E31" s="128"/>
      <c r="F31" s="759" t="s">
        <v>696</v>
      </c>
      <c r="G31" s="759"/>
      <c r="H31" s="759"/>
    </row>
    <row r="32" spans="1:20" x14ac:dyDescent="0.3">
      <c r="A32" s="272" t="s">
        <v>865</v>
      </c>
      <c r="B32" s="128"/>
      <c r="C32" s="128"/>
      <c r="D32" s="128"/>
      <c r="E32" s="128"/>
      <c r="F32" s="759" t="s">
        <v>841</v>
      </c>
      <c r="G32" s="759"/>
      <c r="H32" s="759"/>
    </row>
    <row r="33" spans="1:21" x14ac:dyDescent="0.3">
      <c r="A33" s="268" t="s">
        <v>868</v>
      </c>
      <c r="B33" s="128">
        <v>2019</v>
      </c>
      <c r="C33" s="128">
        <v>2020</v>
      </c>
      <c r="D33" s="128">
        <v>2021</v>
      </c>
      <c r="E33" s="128">
        <v>2022</v>
      </c>
      <c r="F33" s="276">
        <v>2023</v>
      </c>
      <c r="G33" s="276">
        <v>2024</v>
      </c>
      <c r="H33" s="276">
        <v>2025</v>
      </c>
    </row>
    <row r="34" spans="1:21" x14ac:dyDescent="0.3">
      <c r="A34" s="128" t="s">
        <v>869</v>
      </c>
      <c r="B34" s="280">
        <v>1186</v>
      </c>
      <c r="C34" s="280">
        <v>180</v>
      </c>
      <c r="D34" s="280">
        <v>75</v>
      </c>
      <c r="E34" s="281">
        <v>320</v>
      </c>
      <c r="F34" s="282">
        <v>150</v>
      </c>
      <c r="G34" s="283">
        <v>1421</v>
      </c>
      <c r="H34" s="283">
        <v>204</v>
      </c>
    </row>
    <row r="35" spans="1:21" x14ac:dyDescent="0.3">
      <c r="A35" s="128" t="s">
        <v>870</v>
      </c>
      <c r="B35" s="280">
        <v>320</v>
      </c>
      <c r="C35" s="280">
        <v>720</v>
      </c>
      <c r="D35" s="280">
        <v>110</v>
      </c>
      <c r="E35" s="281">
        <v>20</v>
      </c>
      <c r="F35" s="282">
        <v>340</v>
      </c>
      <c r="G35" s="283">
        <v>733</v>
      </c>
      <c r="H35" s="283">
        <v>424</v>
      </c>
    </row>
    <row r="36" spans="1:21" x14ac:dyDescent="0.3">
      <c r="A36" s="128" t="s">
        <v>871</v>
      </c>
      <c r="B36" s="280">
        <v>653</v>
      </c>
      <c r="C36" s="280">
        <v>80</v>
      </c>
      <c r="D36" s="280">
        <v>90</v>
      </c>
      <c r="E36" s="281">
        <v>240</v>
      </c>
      <c r="F36" s="282">
        <v>270</v>
      </c>
      <c r="G36" s="283">
        <v>740</v>
      </c>
      <c r="H36" s="283">
        <v>30</v>
      </c>
    </row>
    <row r="37" spans="1:21" x14ac:dyDescent="0.3">
      <c r="A37" s="128" t="s">
        <v>872</v>
      </c>
      <c r="B37" s="280">
        <v>664</v>
      </c>
      <c r="C37" s="280"/>
      <c r="D37" s="280">
        <v>60</v>
      </c>
      <c r="E37" s="281">
        <v>230</v>
      </c>
      <c r="F37" s="282">
        <v>100</v>
      </c>
      <c r="G37" s="283">
        <v>505</v>
      </c>
      <c r="H37" s="283">
        <v>793</v>
      </c>
    </row>
    <row r="38" spans="1:21" x14ac:dyDescent="0.3">
      <c r="A38" s="128" t="s">
        <v>873</v>
      </c>
      <c r="B38" s="280">
        <v>413</v>
      </c>
      <c r="C38" s="280"/>
      <c r="D38" s="280">
        <v>130</v>
      </c>
      <c r="E38" s="281">
        <v>130</v>
      </c>
      <c r="F38" s="282">
        <v>281</v>
      </c>
      <c r="G38" s="283">
        <v>120</v>
      </c>
      <c r="H38" s="283">
        <v>1002</v>
      </c>
    </row>
    <row r="39" spans="1:21" x14ac:dyDescent="0.3">
      <c r="A39" s="128" t="s">
        <v>444</v>
      </c>
      <c r="B39" s="280">
        <v>280.02</v>
      </c>
      <c r="C39" s="280">
        <v>410</v>
      </c>
      <c r="D39" s="280">
        <v>210</v>
      </c>
      <c r="E39" s="281">
        <v>0</v>
      </c>
      <c r="F39" s="282">
        <v>185</v>
      </c>
      <c r="G39" s="283">
        <v>130</v>
      </c>
      <c r="H39" s="283">
        <v>1664</v>
      </c>
    </row>
    <row r="40" spans="1:21" x14ac:dyDescent="0.3">
      <c r="A40" s="128" t="s">
        <v>536</v>
      </c>
      <c r="B40" s="280">
        <v>882.11</v>
      </c>
      <c r="C40" s="280">
        <v>387</v>
      </c>
      <c r="D40" s="280">
        <v>210</v>
      </c>
      <c r="E40" s="281">
        <v>85</v>
      </c>
      <c r="F40" s="282">
        <v>190</v>
      </c>
      <c r="G40" s="283">
        <v>335</v>
      </c>
      <c r="H40" s="283">
        <v>1803</v>
      </c>
    </row>
    <row r="41" spans="1:21" x14ac:dyDescent="0.3">
      <c r="A41" s="128" t="s">
        <v>537</v>
      </c>
      <c r="B41" s="280">
        <v>746</v>
      </c>
      <c r="C41" s="280">
        <v>727</v>
      </c>
      <c r="D41" s="280">
        <v>555</v>
      </c>
      <c r="E41" s="281">
        <v>185</v>
      </c>
      <c r="F41" s="282">
        <v>861</v>
      </c>
      <c r="G41" s="283">
        <v>1249</v>
      </c>
      <c r="H41" s="286">
        <f>AVERAGE(H34:H40)</f>
        <v>845.71428571428567</v>
      </c>
      <c r="I41" s="295"/>
    </row>
    <row r="42" spans="1:21" x14ac:dyDescent="0.3">
      <c r="A42" s="128" t="s">
        <v>538</v>
      </c>
      <c r="B42" s="280">
        <v>350</v>
      </c>
      <c r="C42" s="280">
        <v>406</v>
      </c>
      <c r="D42" s="280">
        <v>365</v>
      </c>
      <c r="E42" s="281">
        <v>400</v>
      </c>
      <c r="F42" s="282">
        <v>932</v>
      </c>
      <c r="G42" s="283">
        <v>2197</v>
      </c>
      <c r="H42" s="286">
        <v>845.71428571428567</v>
      </c>
    </row>
    <row r="43" spans="1:21" x14ac:dyDescent="0.3">
      <c r="A43" s="128" t="s">
        <v>539</v>
      </c>
      <c r="B43" s="280">
        <v>1268</v>
      </c>
      <c r="C43" s="280">
        <v>509</v>
      </c>
      <c r="D43" s="280">
        <v>423</v>
      </c>
      <c r="E43" s="281">
        <v>200</v>
      </c>
      <c r="F43" s="282">
        <v>713</v>
      </c>
      <c r="G43" s="283">
        <v>669</v>
      </c>
      <c r="H43" s="286">
        <v>845.71428571428601</v>
      </c>
    </row>
    <row r="44" spans="1:21" x14ac:dyDescent="0.3">
      <c r="A44" s="128" t="s">
        <v>543</v>
      </c>
      <c r="B44" s="280">
        <v>748</v>
      </c>
      <c r="C44" s="280">
        <v>212</v>
      </c>
      <c r="D44" s="280">
        <v>288</v>
      </c>
      <c r="E44" s="281">
        <v>120</v>
      </c>
      <c r="F44" s="283">
        <v>1087</v>
      </c>
      <c r="G44" s="283">
        <v>20</v>
      </c>
      <c r="H44" s="286">
        <v>845.71428571428567</v>
      </c>
    </row>
    <row r="45" spans="1:21" x14ac:dyDescent="0.3">
      <c r="A45" s="128" t="s">
        <v>874</v>
      </c>
      <c r="B45" s="280">
        <v>534</v>
      </c>
      <c r="C45" s="280">
        <v>80</v>
      </c>
      <c r="D45" s="280">
        <v>400</v>
      </c>
      <c r="E45" s="281">
        <v>330</v>
      </c>
      <c r="F45" s="283">
        <v>875</v>
      </c>
      <c r="G45" s="283">
        <v>95</v>
      </c>
      <c r="H45" s="286">
        <v>845.71428571428567</v>
      </c>
    </row>
    <row r="46" spans="1:21" x14ac:dyDescent="0.3">
      <c r="A46" s="128" t="s">
        <v>875</v>
      </c>
      <c r="B46" s="289">
        <f t="shared" ref="B46:D46" si="6">SUM(B34:B45)</f>
        <v>8044.13</v>
      </c>
      <c r="C46" s="289">
        <f t="shared" si="6"/>
        <v>3711</v>
      </c>
      <c r="D46" s="289">
        <f t="shared" si="6"/>
        <v>2916</v>
      </c>
      <c r="E46" s="290">
        <f>SUM(E34:E45)</f>
        <v>2260</v>
      </c>
      <c r="F46" s="291">
        <f>SUM(F34:F45)</f>
        <v>5984</v>
      </c>
      <c r="G46" s="291">
        <f t="shared" ref="G46" si="7">SUM(G34:G45)</f>
        <v>8214</v>
      </c>
      <c r="H46" s="291">
        <f>SUM(H34:H45)</f>
        <v>10148.571428571429</v>
      </c>
    </row>
    <row r="47" spans="1:21" s="298" customFormat="1" x14ac:dyDescent="0.3">
      <c r="A47" s="296" t="s">
        <v>876</v>
      </c>
      <c r="B47" s="297"/>
      <c r="C47" s="297"/>
      <c r="D47" s="297"/>
      <c r="E47" s="297"/>
      <c r="F47" s="297"/>
      <c r="G47" s="297"/>
      <c r="H47" s="297">
        <v>5900</v>
      </c>
      <c r="I47" s="302"/>
      <c r="J47" s="302"/>
      <c r="K47" s="302"/>
      <c r="L47" s="302"/>
      <c r="M47" s="302"/>
      <c r="N47" s="302"/>
      <c r="O47" s="302"/>
      <c r="P47" s="302"/>
      <c r="Q47" s="302"/>
      <c r="R47" s="302"/>
      <c r="S47" s="302"/>
      <c r="T47" s="302"/>
      <c r="U47" s="302"/>
    </row>
    <row r="48" spans="1:21" s="129" customFormat="1" x14ac:dyDescent="0.3">
      <c r="A48" s="273" t="s">
        <v>877</v>
      </c>
      <c r="B48" s="127"/>
      <c r="C48" s="127"/>
      <c r="D48" s="127"/>
      <c r="E48" s="126"/>
      <c r="F48" s="127"/>
      <c r="G48" s="127"/>
      <c r="H48" s="301">
        <f>+H46-H47</f>
        <v>4248.5714285714294</v>
      </c>
      <c r="K48" s="303">
        <f>+K46-K47</f>
        <v>0</v>
      </c>
      <c r="N48" s="304">
        <f>+N47-N46</f>
        <v>0</v>
      </c>
      <c r="Q48" s="304">
        <f>+Q47-Q46</f>
        <v>0</v>
      </c>
      <c r="S48" s="305"/>
      <c r="T48" s="303">
        <f>+T46-T47</f>
        <v>0</v>
      </c>
    </row>
    <row r="50" spans="1:8" x14ac:dyDescent="0.3">
      <c r="A50" s="268" t="s">
        <v>708</v>
      </c>
      <c r="B50" s="271"/>
      <c r="C50" s="271"/>
      <c r="D50" s="271"/>
      <c r="E50" s="271"/>
      <c r="F50" s="768" t="s">
        <v>843</v>
      </c>
      <c r="G50" s="769"/>
      <c r="H50" s="770"/>
    </row>
    <row r="51" spans="1:8" x14ac:dyDescent="0.3">
      <c r="A51" s="268" t="s">
        <v>864</v>
      </c>
      <c r="B51" s="765" t="s">
        <v>723</v>
      </c>
      <c r="C51" s="766"/>
      <c r="D51" s="766"/>
      <c r="E51" s="766"/>
      <c r="F51" s="766"/>
      <c r="G51" s="766"/>
      <c r="H51" s="767"/>
    </row>
    <row r="52" spans="1:8" x14ac:dyDescent="0.3">
      <c r="A52" s="272" t="s">
        <v>865</v>
      </c>
      <c r="B52" s="306" t="s">
        <v>847</v>
      </c>
      <c r="C52" s="306"/>
      <c r="D52" s="306"/>
      <c r="E52" s="306"/>
      <c r="F52" s="765" t="s">
        <v>879</v>
      </c>
      <c r="G52" s="766"/>
      <c r="H52" s="767"/>
    </row>
    <row r="53" spans="1:8" x14ac:dyDescent="0.3">
      <c r="A53" s="268" t="s">
        <v>868</v>
      </c>
      <c r="B53" s="307">
        <v>2019</v>
      </c>
      <c r="C53" s="307">
        <v>2020</v>
      </c>
      <c r="D53" s="307">
        <v>2021</v>
      </c>
      <c r="E53" s="307">
        <v>2022</v>
      </c>
      <c r="F53" s="276">
        <v>2023</v>
      </c>
      <c r="G53" s="276">
        <v>2024</v>
      </c>
      <c r="H53" s="276">
        <v>2025</v>
      </c>
    </row>
    <row r="54" spans="1:8" x14ac:dyDescent="0.3">
      <c r="A54" s="128" t="s">
        <v>869</v>
      </c>
      <c r="B54" s="308"/>
      <c r="C54" s="308"/>
      <c r="D54" s="308"/>
      <c r="E54" s="283"/>
      <c r="F54" s="283"/>
      <c r="G54" s="283"/>
      <c r="H54" s="283">
        <v>0</v>
      </c>
    </row>
    <row r="55" spans="1:8" x14ac:dyDescent="0.3">
      <c r="A55" s="128" t="s">
        <v>870</v>
      </c>
      <c r="B55" s="308"/>
      <c r="C55" s="308"/>
      <c r="D55" s="308"/>
      <c r="E55" s="283"/>
      <c r="F55" s="282">
        <v>100</v>
      </c>
      <c r="G55" s="283"/>
      <c r="H55" s="283">
        <v>0</v>
      </c>
    </row>
    <row r="56" spans="1:8" x14ac:dyDescent="0.3">
      <c r="A56" s="128" t="s">
        <v>871</v>
      </c>
      <c r="B56" s="308">
        <v>50</v>
      </c>
      <c r="C56" s="308"/>
      <c r="D56" s="308"/>
      <c r="E56" s="283"/>
      <c r="F56" s="282"/>
      <c r="G56" s="283"/>
      <c r="H56" s="283">
        <v>0</v>
      </c>
    </row>
    <row r="57" spans="1:8" x14ac:dyDescent="0.3">
      <c r="A57" s="128" t="s">
        <v>872</v>
      </c>
      <c r="B57" s="308"/>
      <c r="C57" s="308"/>
      <c r="D57" s="308"/>
      <c r="E57" s="283"/>
      <c r="F57" s="282"/>
      <c r="G57" s="283"/>
      <c r="H57" s="283">
        <v>0</v>
      </c>
    </row>
    <row r="58" spans="1:8" x14ac:dyDescent="0.3">
      <c r="A58" s="128" t="s">
        <v>873</v>
      </c>
      <c r="B58" s="308"/>
      <c r="C58" s="308"/>
      <c r="D58" s="308"/>
      <c r="E58" s="283"/>
      <c r="F58" s="282"/>
      <c r="G58" s="283"/>
      <c r="H58" s="283">
        <v>0</v>
      </c>
    </row>
    <row r="59" spans="1:8" x14ac:dyDescent="0.3">
      <c r="A59" s="128" t="s">
        <v>444</v>
      </c>
      <c r="B59" s="308"/>
      <c r="C59" s="308"/>
      <c r="D59" s="308"/>
      <c r="E59" s="283"/>
      <c r="F59" s="282"/>
      <c r="G59" s="283"/>
      <c r="H59" s="283"/>
    </row>
    <row r="60" spans="1:8" x14ac:dyDescent="0.3">
      <c r="A60" s="128" t="s">
        <v>536</v>
      </c>
      <c r="B60" s="308"/>
      <c r="C60" s="308"/>
      <c r="D60" s="308"/>
      <c r="E60" s="283"/>
      <c r="F60" s="282"/>
      <c r="G60" s="283"/>
      <c r="H60" s="283"/>
    </row>
    <row r="61" spans="1:8" x14ac:dyDescent="0.3">
      <c r="A61" s="128" t="s">
        <v>537</v>
      </c>
      <c r="B61" s="308"/>
      <c r="C61" s="308"/>
      <c r="D61" s="308"/>
      <c r="E61" s="283"/>
      <c r="F61" s="282"/>
      <c r="G61" s="283"/>
      <c r="H61" s="283"/>
    </row>
    <row r="62" spans="1:8" x14ac:dyDescent="0.3">
      <c r="A62" s="128" t="s">
        <v>538</v>
      </c>
      <c r="B62" s="308">
        <v>300</v>
      </c>
      <c r="C62" s="308"/>
      <c r="D62" s="308"/>
      <c r="E62" s="283"/>
      <c r="F62" s="282">
        <v>800</v>
      </c>
      <c r="G62" s="283"/>
      <c r="H62" s="283"/>
    </row>
    <row r="63" spans="1:8" x14ac:dyDescent="0.3">
      <c r="A63" s="128" t="s">
        <v>539</v>
      </c>
      <c r="B63" s="308"/>
      <c r="C63" s="308"/>
      <c r="D63" s="308">
        <v>950</v>
      </c>
      <c r="E63" s="283">
        <v>500</v>
      </c>
      <c r="F63" s="282">
        <v>600</v>
      </c>
      <c r="G63" s="283"/>
      <c r="H63" s="283"/>
    </row>
    <row r="64" spans="1:8" x14ac:dyDescent="0.3">
      <c r="A64" s="128" t="s">
        <v>543</v>
      </c>
      <c r="B64" s="308"/>
      <c r="C64" s="308"/>
      <c r="D64" s="308"/>
      <c r="E64" s="283">
        <v>29.65</v>
      </c>
      <c r="F64" s="282">
        <v>850</v>
      </c>
      <c r="G64" s="283"/>
      <c r="H64" s="283"/>
    </row>
    <row r="65" spans="1:21" x14ac:dyDescent="0.3">
      <c r="A65" s="128" t="s">
        <v>874</v>
      </c>
      <c r="B65" s="308"/>
      <c r="C65" s="308"/>
      <c r="D65" s="308"/>
      <c r="E65" s="283">
        <v>3.55</v>
      </c>
      <c r="F65" s="283">
        <v>550</v>
      </c>
      <c r="G65" s="283">
        <v>800</v>
      </c>
      <c r="H65" s="286">
        <f>AVERAGE(F65:G65)</f>
        <v>675</v>
      </c>
    </row>
    <row r="66" spans="1:21" x14ac:dyDescent="0.3">
      <c r="A66" s="128" t="s">
        <v>875</v>
      </c>
      <c r="B66" s="289">
        <f t="shared" ref="B66:E66" si="8">SUM(B54:B65)</f>
        <v>350</v>
      </c>
      <c r="C66" s="280">
        <f t="shared" si="8"/>
        <v>0</v>
      </c>
      <c r="D66" s="289">
        <f t="shared" si="8"/>
        <v>950</v>
      </c>
      <c r="E66" s="290">
        <f t="shared" si="8"/>
        <v>533.19999999999993</v>
      </c>
      <c r="F66" s="290">
        <f>SUM(F54:F65)</f>
        <v>2900</v>
      </c>
      <c r="G66" s="290">
        <f t="shared" ref="G66:H66" si="9">SUM(G54:G65)</f>
        <v>800</v>
      </c>
      <c r="H66" s="286">
        <f t="shared" si="9"/>
        <v>675</v>
      </c>
    </row>
    <row r="67" spans="1:21" s="298" customFormat="1" x14ac:dyDescent="0.3">
      <c r="A67" s="296" t="s">
        <v>876</v>
      </c>
      <c r="B67" s="297"/>
      <c r="C67" s="297"/>
      <c r="D67" s="297"/>
      <c r="E67" s="297"/>
      <c r="F67" s="297"/>
      <c r="G67" s="297"/>
      <c r="H67" s="297">
        <v>2900</v>
      </c>
      <c r="I67" s="302"/>
      <c r="J67" s="302"/>
      <c r="K67" s="302"/>
      <c r="L67" s="302"/>
      <c r="M67" s="302"/>
      <c r="N67" s="302"/>
      <c r="O67" s="302"/>
      <c r="P67" s="302"/>
      <c r="Q67" s="302"/>
      <c r="R67" s="302"/>
      <c r="S67" s="302"/>
      <c r="T67" s="302"/>
      <c r="U67" s="302"/>
    </row>
    <row r="68" spans="1:21" s="129" customFormat="1" x14ac:dyDescent="0.3">
      <c r="A68" s="273" t="s">
        <v>877</v>
      </c>
      <c r="B68" s="127"/>
      <c r="C68" s="127"/>
      <c r="D68" s="127"/>
      <c r="E68" s="126"/>
      <c r="F68" s="127"/>
      <c r="G68" s="127"/>
      <c r="H68" s="301">
        <f>+H67-H66</f>
        <v>2225</v>
      </c>
      <c r="K68" s="303">
        <f>+K66-K67</f>
        <v>0</v>
      </c>
      <c r="N68" s="304">
        <f>+N67-N66</f>
        <v>0</v>
      </c>
      <c r="Q68" s="304">
        <f>+Q67-Q66</f>
        <v>0</v>
      </c>
      <c r="S68" s="305"/>
      <c r="T68" s="303">
        <f>+T66-T67</f>
        <v>0</v>
      </c>
    </row>
    <row r="69" spans="1:21" x14ac:dyDescent="0.3">
      <c r="A69" s="294"/>
      <c r="B69" s="294"/>
      <c r="C69" s="294"/>
      <c r="D69" s="294"/>
      <c r="E69" s="294"/>
      <c r="F69" s="294"/>
    </row>
    <row r="71" spans="1:21" x14ac:dyDescent="0.3">
      <c r="A71" s="268" t="s">
        <v>736</v>
      </c>
      <c r="B71" s="271"/>
      <c r="C71" s="271"/>
      <c r="D71" s="271"/>
      <c r="E71" s="271"/>
      <c r="F71" s="764" t="s">
        <v>737</v>
      </c>
      <c r="G71" s="764"/>
      <c r="H71" s="764"/>
    </row>
    <row r="72" spans="1:21" x14ac:dyDescent="0.3">
      <c r="A72" s="268" t="s">
        <v>864</v>
      </c>
      <c r="B72" s="306" t="s">
        <v>742</v>
      </c>
      <c r="C72" s="306"/>
      <c r="D72" s="306"/>
      <c r="E72" s="306"/>
      <c r="F72" s="759" t="s">
        <v>742</v>
      </c>
      <c r="G72" s="759"/>
      <c r="H72" s="759"/>
    </row>
    <row r="73" spans="1:21" x14ac:dyDescent="0.3">
      <c r="A73" s="272" t="s">
        <v>865</v>
      </c>
      <c r="B73" s="759" t="s">
        <v>743</v>
      </c>
      <c r="C73" s="759"/>
      <c r="D73" s="759"/>
      <c r="E73" s="759"/>
      <c r="F73" s="759"/>
      <c r="G73" s="759"/>
      <c r="H73" s="759"/>
    </row>
    <row r="74" spans="1:21" x14ac:dyDescent="0.3">
      <c r="A74" s="268" t="s">
        <v>868</v>
      </c>
      <c r="B74" s="307">
        <v>2019</v>
      </c>
      <c r="C74" s="307">
        <v>2020</v>
      </c>
      <c r="D74" s="307">
        <v>2021</v>
      </c>
      <c r="E74" s="307">
        <v>2022</v>
      </c>
      <c r="F74" s="276">
        <v>2023</v>
      </c>
      <c r="G74" s="276">
        <v>2024</v>
      </c>
      <c r="H74" s="276">
        <v>2025</v>
      </c>
    </row>
    <row r="75" spans="1:21" x14ac:dyDescent="0.3">
      <c r="A75" s="128" t="s">
        <v>869</v>
      </c>
      <c r="B75" s="308"/>
      <c r="C75" s="308">
        <v>40.07</v>
      </c>
      <c r="D75" s="308"/>
      <c r="E75" s="283"/>
      <c r="F75" s="309">
        <v>12.28</v>
      </c>
      <c r="G75" s="283">
        <v>127.1</v>
      </c>
      <c r="H75" s="283">
        <v>0.04</v>
      </c>
    </row>
    <row r="76" spans="1:21" x14ac:dyDescent="0.3">
      <c r="A76" s="128" t="s">
        <v>870</v>
      </c>
      <c r="B76" s="308">
        <v>0.11</v>
      </c>
      <c r="C76" s="308"/>
      <c r="D76" s="308"/>
      <c r="E76" s="283"/>
      <c r="F76" s="309">
        <v>51.69</v>
      </c>
      <c r="G76" s="283">
        <v>127.1</v>
      </c>
      <c r="H76" s="283">
        <v>758.22</v>
      </c>
    </row>
    <row r="77" spans="1:21" x14ac:dyDescent="0.3">
      <c r="A77" s="128" t="s">
        <v>871</v>
      </c>
      <c r="B77" s="308">
        <v>0.12</v>
      </c>
      <c r="C77" s="308"/>
      <c r="D77" s="308">
        <v>1127.23</v>
      </c>
      <c r="E77" s="283"/>
      <c r="F77" s="309">
        <v>18.32</v>
      </c>
      <c r="G77" s="283">
        <v>756.91</v>
      </c>
      <c r="H77" s="283">
        <v>0.04</v>
      </c>
    </row>
    <row r="78" spans="1:21" x14ac:dyDescent="0.3">
      <c r="A78" s="128" t="s">
        <v>872</v>
      </c>
      <c r="B78" s="308">
        <v>617.9</v>
      </c>
      <c r="C78" s="308">
        <v>178.8</v>
      </c>
      <c r="D78" s="308"/>
      <c r="E78" s="283"/>
      <c r="F78" s="309">
        <v>1844.77</v>
      </c>
      <c r="G78" s="283">
        <v>1.3</v>
      </c>
      <c r="H78" s="283">
        <v>1379.04</v>
      </c>
    </row>
    <row r="79" spans="1:21" x14ac:dyDescent="0.3">
      <c r="A79" s="128" t="s">
        <v>873</v>
      </c>
      <c r="B79" s="308">
        <v>0.11</v>
      </c>
      <c r="C79" s="308"/>
      <c r="D79" s="308">
        <v>1100.54</v>
      </c>
      <c r="E79" s="283">
        <v>346.5</v>
      </c>
      <c r="F79" s="309">
        <v>555.04999999999995</v>
      </c>
      <c r="G79" s="283">
        <v>346.15</v>
      </c>
      <c r="H79" s="283">
        <v>0</v>
      </c>
    </row>
    <row r="80" spans="1:21" x14ac:dyDescent="0.3">
      <c r="A80" s="128" t="s">
        <v>444</v>
      </c>
      <c r="B80" s="308">
        <v>2846.72</v>
      </c>
      <c r="C80" s="308">
        <v>1250.04</v>
      </c>
      <c r="D80" s="308"/>
      <c r="E80" s="283"/>
      <c r="F80" s="282"/>
      <c r="G80" s="283">
        <v>133.78</v>
      </c>
      <c r="H80" s="283">
        <v>35.07</v>
      </c>
    </row>
    <row r="81" spans="1:21" x14ac:dyDescent="0.3">
      <c r="A81" s="128" t="s">
        <v>536</v>
      </c>
      <c r="B81" s="308"/>
      <c r="C81" s="308"/>
      <c r="D81" s="308"/>
      <c r="E81" s="283"/>
      <c r="F81" s="282"/>
      <c r="G81" s="283">
        <v>127.1</v>
      </c>
      <c r="H81" s="283">
        <v>1</v>
      </c>
    </row>
    <row r="82" spans="1:21" x14ac:dyDescent="0.3">
      <c r="A82" s="128" t="s">
        <v>537</v>
      </c>
      <c r="B82" s="308">
        <v>0.04</v>
      </c>
      <c r="C82" s="308">
        <v>0.6</v>
      </c>
      <c r="D82" s="308"/>
      <c r="E82" s="283"/>
      <c r="F82" s="282"/>
      <c r="G82" s="283">
        <v>0</v>
      </c>
      <c r="H82" s="287">
        <v>0</v>
      </c>
    </row>
    <row r="83" spans="1:21" x14ac:dyDescent="0.3">
      <c r="A83" s="128" t="s">
        <v>538</v>
      </c>
      <c r="B83" s="308">
        <v>0.14000000000000001</v>
      </c>
      <c r="C83" s="308"/>
      <c r="D83" s="308"/>
      <c r="E83" s="283"/>
      <c r="F83" s="309">
        <v>39.56</v>
      </c>
      <c r="G83" s="283">
        <v>131.51</v>
      </c>
      <c r="H83" s="287">
        <f>AVERAGE(F83:G83)</f>
        <v>85.534999999999997</v>
      </c>
    </row>
    <row r="84" spans="1:21" x14ac:dyDescent="0.3">
      <c r="A84" s="128" t="s">
        <v>539</v>
      </c>
      <c r="B84" s="308"/>
      <c r="C84" s="308">
        <v>0.01</v>
      </c>
      <c r="D84" s="308"/>
      <c r="E84" s="283"/>
      <c r="F84" s="309">
        <v>43175</v>
      </c>
      <c r="G84" s="283">
        <v>254.2</v>
      </c>
      <c r="H84" s="287">
        <f>+G84</f>
        <v>254.2</v>
      </c>
    </row>
    <row r="85" spans="1:21" x14ac:dyDescent="0.3">
      <c r="A85" s="128" t="s">
        <v>543</v>
      </c>
      <c r="B85" s="308">
        <v>0.1</v>
      </c>
      <c r="C85" s="308">
        <v>585.07000000000005</v>
      </c>
      <c r="D85" s="308">
        <v>91.12</v>
      </c>
      <c r="E85" s="283"/>
      <c r="F85" s="283">
        <v>118.18</v>
      </c>
      <c r="G85" s="283">
        <v>127.1</v>
      </c>
      <c r="H85" s="287">
        <f t="shared" ref="H85:H86" si="10">AVERAGE(F85:G85)</f>
        <v>122.64</v>
      </c>
    </row>
    <row r="86" spans="1:21" x14ac:dyDescent="0.3">
      <c r="A86" s="128" t="s">
        <v>874</v>
      </c>
      <c r="B86" s="308">
        <v>12.4</v>
      </c>
      <c r="C86" s="308">
        <v>0.32</v>
      </c>
      <c r="D86" s="308">
        <v>720.93</v>
      </c>
      <c r="E86" s="283">
        <v>49.11</v>
      </c>
      <c r="F86" s="283">
        <v>127.1</v>
      </c>
      <c r="G86" s="283">
        <v>288.92</v>
      </c>
      <c r="H86" s="287">
        <f t="shared" si="10"/>
        <v>208.01</v>
      </c>
    </row>
    <row r="87" spans="1:21" x14ac:dyDescent="0.3">
      <c r="A87" s="128" t="s">
        <v>875</v>
      </c>
      <c r="B87" s="306">
        <f t="shared" ref="B87:G87" si="11">SUM(B75:B86)</f>
        <v>3477.64</v>
      </c>
      <c r="C87" s="306">
        <f t="shared" si="11"/>
        <v>2054.91</v>
      </c>
      <c r="D87" s="306">
        <f t="shared" si="11"/>
        <v>3039.8199999999997</v>
      </c>
      <c r="E87" s="291">
        <f t="shared" si="11"/>
        <v>395.61</v>
      </c>
      <c r="F87" s="291">
        <f t="shared" si="11"/>
        <v>45941.95</v>
      </c>
      <c r="G87" s="291">
        <f t="shared" si="11"/>
        <v>2421.17</v>
      </c>
      <c r="H87" s="286">
        <f>SUM(H75:H86)</f>
        <v>2843.7950000000001</v>
      </c>
    </row>
    <row r="88" spans="1:21" s="298" customFormat="1" x14ac:dyDescent="0.3">
      <c r="A88" s="296" t="s">
        <v>876</v>
      </c>
      <c r="B88" s="297"/>
      <c r="C88" s="297"/>
      <c r="D88" s="297"/>
      <c r="E88" s="297"/>
      <c r="F88" s="297"/>
      <c r="G88" s="297"/>
      <c r="H88" s="297">
        <v>1800</v>
      </c>
      <c r="I88" s="302"/>
      <c r="N88" s="302"/>
      <c r="O88" s="302"/>
      <c r="P88" s="302"/>
      <c r="Q88" s="302"/>
      <c r="R88" s="302"/>
      <c r="S88" s="302"/>
      <c r="T88" s="302"/>
      <c r="U88" s="302"/>
    </row>
    <row r="89" spans="1:21" s="129" customFormat="1" x14ac:dyDescent="0.3">
      <c r="A89" s="273" t="s">
        <v>877</v>
      </c>
      <c r="B89" s="127"/>
      <c r="C89" s="127"/>
      <c r="D89" s="127"/>
      <c r="E89" s="126"/>
      <c r="F89" s="127"/>
      <c r="G89" s="127"/>
      <c r="H89" s="301">
        <f>+H87-H88</f>
        <v>1043.7950000000001</v>
      </c>
      <c r="N89" s="304">
        <f>+N88-N87</f>
        <v>0</v>
      </c>
      <c r="Q89" s="304">
        <f>+Q88-Q87</f>
        <v>0</v>
      </c>
      <c r="S89" s="305"/>
      <c r="T89" s="303">
        <f>+T87-T88</f>
        <v>0</v>
      </c>
    </row>
    <row r="92" spans="1:21" s="129" customFormat="1" ht="15.6" customHeight="1" x14ac:dyDescent="0.3">
      <c r="A92" s="311" t="s">
        <v>864</v>
      </c>
      <c r="B92" s="125" t="s">
        <v>856</v>
      </c>
      <c r="C92" s="127"/>
      <c r="D92" s="127"/>
      <c r="E92" s="127"/>
      <c r="F92" s="762" t="s">
        <v>884</v>
      </c>
      <c r="G92" s="762"/>
      <c r="H92" s="762"/>
      <c r="I92" s="762"/>
      <c r="J92" s="762"/>
    </row>
    <row r="93" spans="1:21" s="129" customFormat="1" ht="15.6" customHeight="1" x14ac:dyDescent="0.3">
      <c r="A93" s="272" t="s">
        <v>865</v>
      </c>
      <c r="B93" s="125"/>
      <c r="C93" s="127"/>
      <c r="D93" s="127"/>
      <c r="E93" s="127"/>
      <c r="F93" s="762" t="s">
        <v>857</v>
      </c>
      <c r="G93" s="762"/>
      <c r="H93" s="762"/>
      <c r="I93" s="762"/>
      <c r="J93" s="762"/>
    </row>
    <row r="94" spans="1:21" s="129" customFormat="1" ht="15.6" customHeight="1" x14ac:dyDescent="0.3">
      <c r="A94" s="311" t="s">
        <v>868</v>
      </c>
      <c r="B94" s="312">
        <v>2019</v>
      </c>
      <c r="C94" s="312">
        <v>2020</v>
      </c>
      <c r="D94" s="312">
        <v>2021</v>
      </c>
      <c r="E94" s="312">
        <v>2022</v>
      </c>
      <c r="F94" s="313">
        <v>2021</v>
      </c>
      <c r="G94" s="313">
        <v>2022</v>
      </c>
      <c r="H94" s="313">
        <v>2023</v>
      </c>
      <c r="I94" s="313">
        <v>2024</v>
      </c>
      <c r="J94" s="313" t="s">
        <v>886</v>
      </c>
    </row>
    <row r="95" spans="1:21" x14ac:dyDescent="0.3">
      <c r="A95" s="128" t="s">
        <v>885</v>
      </c>
      <c r="B95" s="128"/>
      <c r="C95" s="128"/>
      <c r="D95" s="128"/>
      <c r="E95" s="128"/>
      <c r="F95" s="314">
        <f>344542.51+67.05</f>
        <v>344609.56</v>
      </c>
      <c r="G95" s="314">
        <f>499517.34+215.25</f>
        <v>499732.59</v>
      </c>
      <c r="H95" s="315">
        <f>634236.21+751.72</f>
        <v>634987.92999999993</v>
      </c>
      <c r="I95" s="315">
        <v>961687.1</v>
      </c>
      <c r="J95" s="315">
        <f>1136251.24+608.4</f>
        <v>1136859.6399999999</v>
      </c>
    </row>
    <row r="96" spans="1:21" x14ac:dyDescent="0.3">
      <c r="A96" s="128" t="s">
        <v>888</v>
      </c>
      <c r="B96" s="128"/>
      <c r="C96" s="128"/>
      <c r="D96" s="128"/>
      <c r="E96" s="128"/>
      <c r="F96" s="128"/>
      <c r="G96" s="316">
        <f>((G95-F95)/F95)*100%</f>
        <v>0.45014140060420849</v>
      </c>
      <c r="H96" s="316">
        <f>((H95-G95)/G95)*100%</f>
        <v>0.27065543193810893</v>
      </c>
      <c r="I96" s="316">
        <f>((I95-H95)/H95)*100%</f>
        <v>0.51449666137748484</v>
      </c>
      <c r="J96" s="316">
        <f>((J95-I95)/I95)*100%</f>
        <v>0.18215128392592553</v>
      </c>
    </row>
    <row r="99" spans="1:9" ht="24" customHeight="1" x14ac:dyDescent="0.3">
      <c r="A99" s="761" t="s">
        <v>887</v>
      </c>
      <c r="B99" s="761"/>
      <c r="C99" s="761"/>
      <c r="D99" s="761"/>
      <c r="E99" s="761"/>
      <c r="F99" s="761"/>
      <c r="G99" s="761"/>
      <c r="H99" s="761"/>
      <c r="I99" s="761"/>
    </row>
    <row r="100" spans="1:9" ht="24" customHeight="1" x14ac:dyDescent="0.3">
      <c r="A100" s="761"/>
      <c r="B100" s="761"/>
      <c r="C100" s="761"/>
      <c r="D100" s="761"/>
      <c r="E100" s="761"/>
      <c r="F100" s="761"/>
      <c r="G100" s="761"/>
      <c r="H100" s="761"/>
      <c r="I100" s="761"/>
    </row>
    <row r="101" spans="1:9" ht="24" customHeight="1" x14ac:dyDescent="0.3">
      <c r="A101" s="761"/>
      <c r="B101" s="761"/>
      <c r="C101" s="761"/>
      <c r="D101" s="761"/>
      <c r="E101" s="761"/>
      <c r="F101" s="761"/>
      <c r="G101" s="761"/>
      <c r="H101" s="761"/>
      <c r="I101" s="761"/>
    </row>
    <row r="102" spans="1:9" ht="24" customHeight="1" x14ac:dyDescent="0.3">
      <c r="A102" s="761"/>
      <c r="B102" s="761"/>
      <c r="C102" s="761"/>
      <c r="D102" s="761"/>
      <c r="E102" s="761"/>
      <c r="F102" s="761"/>
      <c r="G102" s="761"/>
      <c r="H102" s="761"/>
      <c r="I102" s="761"/>
    </row>
  </sheetData>
  <mergeCells count="26">
    <mergeCell ref="A99:I102"/>
    <mergeCell ref="F93:J93"/>
    <mergeCell ref="F92:J92"/>
    <mergeCell ref="F9:H9"/>
    <mergeCell ref="I9:K9"/>
    <mergeCell ref="F31:H31"/>
    <mergeCell ref="F32:H32"/>
    <mergeCell ref="F30:H30"/>
    <mergeCell ref="F52:H52"/>
    <mergeCell ref="B51:H51"/>
    <mergeCell ref="F50:H50"/>
    <mergeCell ref="B73:H73"/>
    <mergeCell ref="F71:H71"/>
    <mergeCell ref="F72:H72"/>
    <mergeCell ref="L9:N9"/>
    <mergeCell ref="R9:T9"/>
    <mergeCell ref="A2:H2"/>
    <mergeCell ref="A3:H3"/>
    <mergeCell ref="A4:H4"/>
    <mergeCell ref="A6:K6"/>
    <mergeCell ref="F7:T7"/>
    <mergeCell ref="F8:H8"/>
    <mergeCell ref="I8:K8"/>
    <mergeCell ref="L8:N8"/>
    <mergeCell ref="O8:Q8"/>
    <mergeCell ref="R8:T8"/>
  </mergeCells>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topLeftCell="A31" zoomScale="60" zoomScaleNormal="60" workbookViewId="0">
      <selection activeCell="G77" sqref="G77"/>
    </sheetView>
  </sheetViews>
  <sheetFormatPr baseColWidth="10" defaultRowHeight="14.4" x14ac:dyDescent="0.3"/>
  <cols>
    <col min="1" max="1" width="16.5546875" customWidth="1"/>
    <col min="2" max="2" width="36.5546875" customWidth="1"/>
    <col min="3" max="3" width="21.44140625" customWidth="1"/>
    <col min="4" max="4" width="21.109375" customWidth="1"/>
    <col min="5" max="5" width="40.5546875" customWidth="1"/>
    <col min="6" max="6" width="16" customWidth="1"/>
    <col min="8" max="8" width="12.6640625" customWidth="1"/>
  </cols>
  <sheetData>
    <row r="1" spans="1:6" ht="15" thickBot="1" x14ac:dyDescent="0.35"/>
    <row r="2" spans="1:6" ht="15" thickBot="1" x14ac:dyDescent="0.35">
      <c r="C2" s="203" t="s">
        <v>799</v>
      </c>
      <c r="D2" s="204" t="s">
        <v>800</v>
      </c>
      <c r="E2" s="204" t="s">
        <v>801</v>
      </c>
    </row>
    <row r="3" spans="1:6" ht="29.4" thickBot="1" x14ac:dyDescent="0.35">
      <c r="C3" s="205" t="s">
        <v>802</v>
      </c>
      <c r="D3" s="206" t="s">
        <v>803</v>
      </c>
      <c r="E3" s="207" t="s">
        <v>804</v>
      </c>
    </row>
    <row r="4" spans="1:6" ht="29.4" thickBot="1" x14ac:dyDescent="0.35">
      <c r="C4" s="205" t="s">
        <v>805</v>
      </c>
      <c r="D4" s="206" t="s">
        <v>806</v>
      </c>
      <c r="E4" s="208" t="s">
        <v>807</v>
      </c>
    </row>
    <row r="5" spans="1:6" ht="29.4" thickBot="1" x14ac:dyDescent="0.35">
      <c r="C5" s="209" t="s">
        <v>808</v>
      </c>
      <c r="D5" s="210" t="s">
        <v>809</v>
      </c>
      <c r="E5" s="211"/>
    </row>
    <row r="7" spans="1:6" x14ac:dyDescent="0.3">
      <c r="A7" s="212" t="s">
        <v>810</v>
      </c>
    </row>
    <row r="8" spans="1:6" ht="15" thickBot="1" x14ac:dyDescent="0.35"/>
    <row r="9" spans="1:6" ht="15" thickBot="1" x14ac:dyDescent="0.35">
      <c r="A9" s="213" t="s">
        <v>11</v>
      </c>
      <c r="B9" s="214" t="s">
        <v>522</v>
      </c>
      <c r="C9" s="214" t="s">
        <v>393</v>
      </c>
      <c r="D9" s="214" t="s">
        <v>509</v>
      </c>
      <c r="E9" s="214" t="s">
        <v>811</v>
      </c>
      <c r="F9" s="214" t="s">
        <v>812</v>
      </c>
    </row>
    <row r="10" spans="1:6" ht="15" thickBot="1" x14ac:dyDescent="0.35">
      <c r="A10" s="215">
        <v>1</v>
      </c>
      <c r="B10" s="216" t="s">
        <v>813</v>
      </c>
      <c r="C10" s="217">
        <v>1291883</v>
      </c>
      <c r="D10" s="217">
        <v>816355.86</v>
      </c>
      <c r="E10" s="217">
        <v>816355.86</v>
      </c>
      <c r="F10" s="218">
        <f>((D10/100%)/C10)</f>
        <v>0.63191160499828547</v>
      </c>
    </row>
    <row r="11" spans="1:6" ht="15" thickBot="1" x14ac:dyDescent="0.35">
      <c r="A11" s="215">
        <v>2</v>
      </c>
      <c r="B11" s="216" t="s">
        <v>814</v>
      </c>
      <c r="C11" s="219" t="s">
        <v>815</v>
      </c>
      <c r="D11" s="219" t="s">
        <v>815</v>
      </c>
      <c r="E11" s="219" t="s">
        <v>815</v>
      </c>
      <c r="F11" s="218">
        <v>0</v>
      </c>
    </row>
    <row r="12" spans="1:6" ht="15" thickBot="1" x14ac:dyDescent="0.35">
      <c r="A12" s="215">
        <v>3</v>
      </c>
      <c r="B12" s="216" t="s">
        <v>816</v>
      </c>
      <c r="C12" s="217">
        <v>941036.56</v>
      </c>
      <c r="D12" s="219" t="s">
        <v>815</v>
      </c>
      <c r="E12" s="219" t="s">
        <v>815</v>
      </c>
      <c r="F12" s="218">
        <v>0</v>
      </c>
    </row>
    <row r="13" spans="1:6" ht="15" thickBot="1" x14ac:dyDescent="0.35">
      <c r="A13" s="773" t="s">
        <v>817</v>
      </c>
      <c r="B13" s="774"/>
      <c r="C13" s="220">
        <v>2232919.56</v>
      </c>
      <c r="D13" s="220">
        <v>816355.86</v>
      </c>
      <c r="E13" s="220">
        <v>816355.86</v>
      </c>
      <c r="F13" s="221">
        <f>((D13/100%)/C13)</f>
        <v>0.36560020997800741</v>
      </c>
    </row>
    <row r="15" spans="1:6" x14ac:dyDescent="0.3">
      <c r="A15" s="212" t="s">
        <v>818</v>
      </c>
    </row>
    <row r="16" spans="1:6" ht="15" thickBot="1" x14ac:dyDescent="0.35"/>
    <row r="17" spans="1:8" ht="15" thickBot="1" x14ac:dyDescent="0.35">
      <c r="A17" s="775" t="s">
        <v>819</v>
      </c>
      <c r="B17" s="776"/>
      <c r="C17" s="776"/>
      <c r="D17" s="776"/>
      <c r="E17" s="776"/>
      <c r="F17" s="776"/>
      <c r="G17" s="776"/>
      <c r="H17" s="777"/>
    </row>
    <row r="18" spans="1:8" ht="15" thickBot="1" x14ac:dyDescent="0.35">
      <c r="A18" s="775" t="s">
        <v>820</v>
      </c>
      <c r="B18" s="776"/>
      <c r="C18" s="776"/>
      <c r="D18" s="776"/>
      <c r="E18" s="776"/>
      <c r="F18" s="776"/>
      <c r="G18" s="776"/>
      <c r="H18" s="777"/>
    </row>
    <row r="19" spans="1:8" ht="25.2" customHeight="1" thickBot="1" x14ac:dyDescent="0.35">
      <c r="A19" s="222" t="s">
        <v>821</v>
      </c>
      <c r="B19" s="223" t="s">
        <v>822</v>
      </c>
      <c r="C19" s="223" t="s">
        <v>823</v>
      </c>
      <c r="D19" s="223" t="s">
        <v>824</v>
      </c>
      <c r="E19" s="223" t="s">
        <v>393</v>
      </c>
      <c r="F19" s="223" t="s">
        <v>509</v>
      </c>
      <c r="G19" s="223" t="s">
        <v>811</v>
      </c>
      <c r="H19" s="223" t="s">
        <v>825</v>
      </c>
    </row>
    <row r="20" spans="1:8" ht="15" thickBot="1" x14ac:dyDescent="0.35">
      <c r="A20" s="224" t="s">
        <v>644</v>
      </c>
      <c r="B20" s="225" t="s">
        <v>645</v>
      </c>
      <c r="C20" s="226">
        <v>1281283</v>
      </c>
      <c r="D20" s="227" t="s">
        <v>815</v>
      </c>
      <c r="E20" s="226">
        <v>1281283</v>
      </c>
      <c r="F20" s="226">
        <v>808262.45</v>
      </c>
      <c r="G20" s="226">
        <v>808262.45</v>
      </c>
      <c r="H20" s="228">
        <f>((F20*100%)/E20)</f>
        <v>0.63082273783387433</v>
      </c>
    </row>
    <row r="21" spans="1:8" ht="15" thickBot="1" x14ac:dyDescent="0.35">
      <c r="A21" s="229" t="s">
        <v>683</v>
      </c>
      <c r="B21" s="230" t="s">
        <v>684</v>
      </c>
      <c r="C21" s="231">
        <v>5900</v>
      </c>
      <c r="D21" s="232" t="s">
        <v>815</v>
      </c>
      <c r="E21" s="226">
        <v>5900</v>
      </c>
      <c r="F21" s="231">
        <v>5920</v>
      </c>
      <c r="G21" s="231">
        <v>5920</v>
      </c>
      <c r="H21" s="228">
        <f t="shared" ref="H21:H23" si="0">((F21*100%)/E21)</f>
        <v>1.0033898305084745</v>
      </c>
    </row>
    <row r="22" spans="1:8" ht="15" thickBot="1" x14ac:dyDescent="0.35">
      <c r="A22" s="229" t="s">
        <v>708</v>
      </c>
      <c r="B22" s="230" t="s">
        <v>826</v>
      </c>
      <c r="C22" s="231">
        <v>2900</v>
      </c>
      <c r="D22" s="232" t="s">
        <v>815</v>
      </c>
      <c r="E22" s="226">
        <v>2900</v>
      </c>
      <c r="F22" s="232" t="s">
        <v>815</v>
      </c>
      <c r="G22" s="232" t="s">
        <v>815</v>
      </c>
      <c r="H22" s="228">
        <v>0</v>
      </c>
    </row>
    <row r="23" spans="1:8" ht="15" thickBot="1" x14ac:dyDescent="0.35">
      <c r="A23" s="229" t="s">
        <v>736</v>
      </c>
      <c r="B23" s="230" t="s">
        <v>739</v>
      </c>
      <c r="C23" s="231">
        <v>1800</v>
      </c>
      <c r="D23" s="232" t="s">
        <v>815</v>
      </c>
      <c r="E23" s="226">
        <v>1800</v>
      </c>
      <c r="F23" s="231">
        <v>2173.41</v>
      </c>
      <c r="G23" s="231">
        <v>2173.41</v>
      </c>
      <c r="H23" s="228">
        <f t="shared" si="0"/>
        <v>1.2074499999999999</v>
      </c>
    </row>
    <row r="24" spans="1:8" ht="15" thickBot="1" x14ac:dyDescent="0.35">
      <c r="A24" s="229" t="s">
        <v>827</v>
      </c>
      <c r="B24" s="230" t="s">
        <v>772</v>
      </c>
      <c r="C24" s="231">
        <v>727586.47</v>
      </c>
      <c r="D24" s="231">
        <v>213450.09</v>
      </c>
      <c r="E24" s="226">
        <v>941036.56</v>
      </c>
      <c r="F24" s="232" t="s">
        <v>815</v>
      </c>
      <c r="G24" s="232" t="s">
        <v>815</v>
      </c>
      <c r="H24" s="228">
        <v>0</v>
      </c>
    </row>
    <row r="25" spans="1:8" ht="15" thickBot="1" x14ac:dyDescent="0.35">
      <c r="A25" s="229" t="s">
        <v>787</v>
      </c>
      <c r="B25" s="230" t="s">
        <v>788</v>
      </c>
      <c r="C25" s="232" t="s">
        <v>815</v>
      </c>
      <c r="D25" s="232" t="s">
        <v>815</v>
      </c>
      <c r="E25" s="227" t="s">
        <v>815</v>
      </c>
      <c r="F25" s="232" t="s">
        <v>815</v>
      </c>
      <c r="G25" s="232" t="s">
        <v>815</v>
      </c>
      <c r="H25" s="228">
        <v>0</v>
      </c>
    </row>
    <row r="26" spans="1:8" ht="15" thickBot="1" x14ac:dyDescent="0.35">
      <c r="A26" s="771" t="s">
        <v>828</v>
      </c>
      <c r="B26" s="772"/>
      <c r="C26" s="233">
        <v>2019469.47</v>
      </c>
      <c r="D26" s="233">
        <v>213450.09</v>
      </c>
      <c r="E26" s="233">
        <v>2232919.56</v>
      </c>
      <c r="F26" s="233">
        <v>816355.86</v>
      </c>
      <c r="G26" s="233">
        <v>816355.86</v>
      </c>
      <c r="H26" s="234">
        <f>((F26*100%)/E26)</f>
        <v>0.36560020997800741</v>
      </c>
    </row>
    <row r="29" spans="1:8" x14ac:dyDescent="0.3">
      <c r="B29" s="212" t="s">
        <v>829</v>
      </c>
      <c r="C29" s="212" t="str">
        <f>+B20</f>
        <v>TASAS Y CONTRIBUCIONES</v>
      </c>
    </row>
    <row r="30" spans="1:8" ht="15" thickBot="1" x14ac:dyDescent="0.35"/>
    <row r="31" spans="1:8" ht="15" thickBot="1" x14ac:dyDescent="0.35">
      <c r="A31" s="213" t="s">
        <v>11</v>
      </c>
      <c r="B31" s="235" t="s">
        <v>522</v>
      </c>
      <c r="C31" s="213" t="s">
        <v>393</v>
      </c>
      <c r="D31" s="235" t="s">
        <v>509</v>
      </c>
      <c r="E31" s="213" t="s">
        <v>830</v>
      </c>
      <c r="F31" s="214" t="s">
        <v>831</v>
      </c>
    </row>
    <row r="32" spans="1:8" s="241" customFormat="1" ht="15" thickBot="1" x14ac:dyDescent="0.35">
      <c r="A32" s="236" t="s">
        <v>650</v>
      </c>
      <c r="B32" s="237" t="s">
        <v>832</v>
      </c>
      <c r="C32" s="238">
        <v>91200</v>
      </c>
      <c r="D32" s="239">
        <v>50214.95</v>
      </c>
      <c r="E32" s="238">
        <f>+D32-C32</f>
        <v>-40985.050000000003</v>
      </c>
      <c r="F32" s="240">
        <f>((D32-C32)/C32)*100%</f>
        <v>-0.44939747807017549</v>
      </c>
    </row>
    <row r="33" spans="1:8" s="241" customFormat="1" ht="15" thickBot="1" x14ac:dyDescent="0.35">
      <c r="A33" s="242" t="s">
        <v>656</v>
      </c>
      <c r="B33" s="243" t="s">
        <v>833</v>
      </c>
      <c r="C33" s="244">
        <v>83</v>
      </c>
      <c r="D33" s="245">
        <v>63.41</v>
      </c>
      <c r="E33" s="246">
        <f t="shared" ref="E33:E36" si="1">+D33-C33</f>
        <v>-19.590000000000003</v>
      </c>
      <c r="F33" s="247">
        <f t="shared" ref="F33:F36" si="2">((D33-C33)/C33)*100%</f>
        <v>-0.2360240963855422</v>
      </c>
    </row>
    <row r="34" spans="1:8" s="347" customFormat="1" ht="15" thickBot="1" x14ac:dyDescent="0.35">
      <c r="A34" s="341" t="s">
        <v>834</v>
      </c>
      <c r="B34" s="342" t="s">
        <v>835</v>
      </c>
      <c r="C34" s="343"/>
      <c r="D34" s="344"/>
      <c r="E34" s="345"/>
      <c r="F34" s="346"/>
    </row>
    <row r="35" spans="1:8" s="241" customFormat="1" ht="29.4" thickBot="1" x14ac:dyDescent="0.35">
      <c r="A35" s="236" t="s">
        <v>668</v>
      </c>
      <c r="B35" s="237" t="s">
        <v>836</v>
      </c>
      <c r="C35" s="249">
        <v>190000</v>
      </c>
      <c r="D35" s="239">
        <v>150821.07999999999</v>
      </c>
      <c r="E35" s="238">
        <f t="shared" si="1"/>
        <v>-39178.920000000013</v>
      </c>
      <c r="F35" s="240">
        <f t="shared" si="2"/>
        <v>-0.20620484210526321</v>
      </c>
    </row>
    <row r="36" spans="1:8" s="241" customFormat="1" ht="15" thickBot="1" x14ac:dyDescent="0.35">
      <c r="A36" s="236" t="s">
        <v>837</v>
      </c>
      <c r="B36" s="237" t="s">
        <v>838</v>
      </c>
      <c r="C36" s="249">
        <v>10000</v>
      </c>
      <c r="D36" s="239">
        <v>2757</v>
      </c>
      <c r="E36" s="238">
        <f t="shared" si="1"/>
        <v>-7243</v>
      </c>
      <c r="F36" s="240">
        <f t="shared" si="2"/>
        <v>-0.72430000000000005</v>
      </c>
    </row>
    <row r="37" spans="1:8" s="241" customFormat="1" ht="29.4" thickBot="1" x14ac:dyDescent="0.35">
      <c r="A37" s="236" t="s">
        <v>679</v>
      </c>
      <c r="B37" s="237" t="s">
        <v>839</v>
      </c>
      <c r="C37" s="249">
        <v>990000</v>
      </c>
      <c r="D37" s="250">
        <v>604406.01</v>
      </c>
      <c r="E37" s="238">
        <f>+D37-C37</f>
        <v>-385593.99</v>
      </c>
      <c r="F37" s="240">
        <f>((D37-C37)/C37)*100%</f>
        <v>-0.3894888787878788</v>
      </c>
    </row>
    <row r="38" spans="1:8" ht="15" thickBot="1" x14ac:dyDescent="0.35">
      <c r="A38" s="771" t="s">
        <v>840</v>
      </c>
      <c r="B38" s="772"/>
      <c r="C38" s="251">
        <f>SUM(C32:C37)</f>
        <v>1281283</v>
      </c>
      <c r="D38" s="251">
        <f>SUM(D32:D37)</f>
        <v>808262.45</v>
      </c>
      <c r="E38" s="251">
        <f>+D38-C38</f>
        <v>-473020.55000000005</v>
      </c>
      <c r="F38" s="252">
        <f>((D38-C38)/C38)*100%</f>
        <v>-0.36917726216612573</v>
      </c>
      <c r="G38" s="241"/>
      <c r="H38" s="241"/>
    </row>
    <row r="39" spans="1:8" x14ac:dyDescent="0.3">
      <c r="G39" s="241"/>
      <c r="H39" s="241"/>
    </row>
    <row r="41" spans="1:8" x14ac:dyDescent="0.3">
      <c r="B41" s="212" t="s">
        <v>829</v>
      </c>
      <c r="C41" s="212" t="str">
        <f>+B21</f>
        <v>VENTA DE BIENES Y SERVICIOS</v>
      </c>
    </row>
    <row r="42" spans="1:8" ht="15" thickBot="1" x14ac:dyDescent="0.35"/>
    <row r="43" spans="1:8" ht="15" thickBot="1" x14ac:dyDescent="0.35">
      <c r="A43" s="213" t="s">
        <v>11</v>
      </c>
      <c r="B43" s="235" t="s">
        <v>522</v>
      </c>
      <c r="C43" s="213" t="s">
        <v>393</v>
      </c>
      <c r="D43" s="235" t="s">
        <v>509</v>
      </c>
      <c r="E43" s="213" t="s">
        <v>830</v>
      </c>
      <c r="F43" s="214" t="s">
        <v>831</v>
      </c>
    </row>
    <row r="44" spans="1:8" ht="57" customHeight="1" thickBot="1" x14ac:dyDescent="0.35">
      <c r="A44" s="253" t="s">
        <v>696</v>
      </c>
      <c r="B44" s="125" t="s">
        <v>841</v>
      </c>
      <c r="C44" s="238">
        <v>5900</v>
      </c>
      <c r="D44" s="239">
        <v>5920</v>
      </c>
      <c r="E44" s="248">
        <f>+D44-C44</f>
        <v>20</v>
      </c>
      <c r="F44" s="240">
        <f>((D44-C44)/C44)*100%</f>
        <v>3.3898305084745762E-3</v>
      </c>
    </row>
    <row r="45" spans="1:8" ht="15" thickBot="1" x14ac:dyDescent="0.35">
      <c r="A45" s="771" t="s">
        <v>842</v>
      </c>
      <c r="B45" s="772"/>
      <c r="C45" s="251">
        <f>SUM(C44:C44)</f>
        <v>5900</v>
      </c>
      <c r="D45" s="251">
        <f>SUM(D44:D44)</f>
        <v>5920</v>
      </c>
      <c r="E45" s="251">
        <f>+D45-C45</f>
        <v>20</v>
      </c>
      <c r="F45" s="252">
        <f>((D45-C45)/C45)*100%</f>
        <v>3.3898305084745762E-3</v>
      </c>
    </row>
    <row r="48" spans="1:8" x14ac:dyDescent="0.3">
      <c r="B48" s="212" t="s">
        <v>829</v>
      </c>
      <c r="C48" s="212" t="s">
        <v>843</v>
      </c>
    </row>
    <row r="49" spans="1:6" ht="15" thickBot="1" x14ac:dyDescent="0.35"/>
    <row r="50" spans="1:6" ht="15" thickBot="1" x14ac:dyDescent="0.35">
      <c r="A50" s="213" t="s">
        <v>11</v>
      </c>
      <c r="B50" s="235" t="s">
        <v>522</v>
      </c>
      <c r="C50" s="213" t="s">
        <v>393</v>
      </c>
      <c r="D50" s="235" t="s">
        <v>509</v>
      </c>
      <c r="E50" s="213" t="s">
        <v>830</v>
      </c>
      <c r="F50" s="214" t="s">
        <v>831</v>
      </c>
    </row>
    <row r="51" spans="1:6" ht="34.200000000000003" customHeight="1" thickBot="1" x14ac:dyDescent="0.35">
      <c r="A51" s="254" t="s">
        <v>844</v>
      </c>
      <c r="B51" s="255" t="s">
        <v>845</v>
      </c>
      <c r="C51" s="256"/>
      <c r="D51" s="239"/>
      <c r="E51" s="248">
        <f>+D51-C51</f>
        <v>0</v>
      </c>
      <c r="F51" s="240" t="e">
        <f>((D51-C51)/C51)*100%</f>
        <v>#DIV/0!</v>
      </c>
    </row>
    <row r="52" spans="1:6" ht="15" thickBot="1" x14ac:dyDescent="0.35">
      <c r="A52" s="254" t="s">
        <v>725</v>
      </c>
      <c r="B52" s="257" t="s">
        <v>846</v>
      </c>
      <c r="C52" s="258"/>
      <c r="D52" s="259"/>
      <c r="E52" s="260"/>
      <c r="F52" s="240" t="e">
        <f>((D52-C52)/C52)*100%</f>
        <v>#DIV/0!</v>
      </c>
    </row>
    <row r="53" spans="1:6" ht="15" thickBot="1" x14ac:dyDescent="0.35">
      <c r="A53" s="254" t="s">
        <v>723</v>
      </c>
      <c r="B53" s="261" t="s">
        <v>847</v>
      </c>
      <c r="C53" s="258">
        <v>2900</v>
      </c>
      <c r="D53" s="259">
        <v>0</v>
      </c>
      <c r="E53" s="260"/>
      <c r="F53" s="240">
        <f>((D53-C53)/C53)*100%</f>
        <v>-1</v>
      </c>
    </row>
    <row r="54" spans="1:6" ht="15" thickBot="1" x14ac:dyDescent="0.35">
      <c r="A54" s="771" t="s">
        <v>848</v>
      </c>
      <c r="B54" s="772"/>
      <c r="C54" s="251">
        <f>SUM(C51:C53)</f>
        <v>2900</v>
      </c>
      <c r="D54" s="251">
        <f>SUM(D51:D53)</f>
        <v>0</v>
      </c>
      <c r="E54" s="251">
        <f>+D54-C54</f>
        <v>-2900</v>
      </c>
      <c r="F54" s="252">
        <f>((D54-C54)/C54)*100%</f>
        <v>-1</v>
      </c>
    </row>
    <row r="57" spans="1:6" x14ac:dyDescent="0.3">
      <c r="B57" s="212" t="s">
        <v>829</v>
      </c>
      <c r="C57" s="212" t="s">
        <v>737</v>
      </c>
    </row>
    <row r="58" spans="1:6" ht="15" thickBot="1" x14ac:dyDescent="0.35"/>
    <row r="59" spans="1:6" ht="15" thickBot="1" x14ac:dyDescent="0.35">
      <c r="A59" s="213" t="s">
        <v>11</v>
      </c>
      <c r="B59" s="235" t="s">
        <v>522</v>
      </c>
      <c r="C59" s="213" t="s">
        <v>393</v>
      </c>
      <c r="D59" s="235" t="s">
        <v>509</v>
      </c>
      <c r="E59" s="213" t="s">
        <v>830</v>
      </c>
      <c r="F59" s="214" t="s">
        <v>831</v>
      </c>
    </row>
    <row r="60" spans="1:6" ht="36" customHeight="1" thickBot="1" x14ac:dyDescent="0.35">
      <c r="A60" s="262" t="s">
        <v>849</v>
      </c>
      <c r="B60" s="125" t="s">
        <v>850</v>
      </c>
      <c r="C60" s="238"/>
      <c r="D60" s="239"/>
      <c r="E60" s="248">
        <f>+D60-C60</f>
        <v>0</v>
      </c>
      <c r="F60" s="240" t="e">
        <f>((D60-C60)/C60)*100%</f>
        <v>#DIV/0!</v>
      </c>
    </row>
    <row r="61" spans="1:6" ht="29.4" thickBot="1" x14ac:dyDescent="0.35">
      <c r="A61" s="262" t="s">
        <v>851</v>
      </c>
      <c r="B61" s="125" t="s">
        <v>852</v>
      </c>
      <c r="C61" s="258"/>
      <c r="D61" s="259"/>
      <c r="E61" s="260"/>
      <c r="F61" s="240" t="e">
        <f>((D61-C61)/C61)*100%</f>
        <v>#DIV/0!</v>
      </c>
    </row>
    <row r="62" spans="1:6" ht="15" thickBot="1" x14ac:dyDescent="0.35">
      <c r="A62" s="262" t="s">
        <v>742</v>
      </c>
      <c r="B62" s="125" t="s">
        <v>853</v>
      </c>
      <c r="C62" s="258">
        <v>1800</v>
      </c>
      <c r="D62" s="259">
        <v>2173.41</v>
      </c>
      <c r="E62" s="238">
        <f>+D62-C62</f>
        <v>373.40999999999985</v>
      </c>
      <c r="F62" s="240">
        <f>((D62-C62)/C62)*100%</f>
        <v>0.20744999999999991</v>
      </c>
    </row>
    <row r="63" spans="1:6" ht="15" thickBot="1" x14ac:dyDescent="0.35">
      <c r="A63" s="771" t="s">
        <v>854</v>
      </c>
      <c r="B63" s="772"/>
      <c r="C63" s="251">
        <f>SUM(C60:C62)</f>
        <v>1800</v>
      </c>
      <c r="D63" s="251">
        <f>SUM(D60:D62)</f>
        <v>2173.41</v>
      </c>
      <c r="E63" s="251">
        <f>+D63-C63</f>
        <v>373.40999999999985</v>
      </c>
      <c r="F63" s="252">
        <f>((D63-C63)/C63)*100%</f>
        <v>0.20744999999999991</v>
      </c>
    </row>
    <row r="65" spans="1:6" x14ac:dyDescent="0.3">
      <c r="B65" s="212"/>
      <c r="C65" s="212"/>
    </row>
    <row r="66" spans="1:6" ht="15" thickBot="1" x14ac:dyDescent="0.35"/>
    <row r="67" spans="1:6" ht="15" thickBot="1" x14ac:dyDescent="0.35">
      <c r="A67" s="213" t="s">
        <v>11</v>
      </c>
      <c r="B67" s="235" t="s">
        <v>522</v>
      </c>
      <c r="C67" s="213" t="s">
        <v>393</v>
      </c>
      <c r="D67" s="235" t="s">
        <v>509</v>
      </c>
      <c r="E67" s="213" t="s">
        <v>830</v>
      </c>
      <c r="F67" s="214" t="s">
        <v>831</v>
      </c>
    </row>
    <row r="68" spans="1:6" ht="45" customHeight="1" thickBot="1" x14ac:dyDescent="0.35">
      <c r="A68" s="262" t="s">
        <v>855</v>
      </c>
      <c r="B68" s="125" t="s">
        <v>856</v>
      </c>
      <c r="C68" s="238"/>
      <c r="D68" s="239"/>
      <c r="E68" s="248">
        <f>+D68-C68</f>
        <v>0</v>
      </c>
      <c r="F68" s="240" t="e">
        <f t="shared" ref="F68:F71" si="3">((D68-C68)/C68)*100%</f>
        <v>#DIV/0!</v>
      </c>
    </row>
    <row r="69" spans="1:6" ht="15" thickBot="1" x14ac:dyDescent="0.35">
      <c r="A69" s="262" t="s">
        <v>781</v>
      </c>
      <c r="B69" s="125" t="s">
        <v>857</v>
      </c>
      <c r="C69" s="238">
        <v>941036.56</v>
      </c>
      <c r="D69" s="239">
        <v>0</v>
      </c>
      <c r="E69" s="248">
        <f>+D69-C69</f>
        <v>-941036.56</v>
      </c>
      <c r="F69" s="240">
        <f t="shared" si="3"/>
        <v>-1</v>
      </c>
    </row>
    <row r="70" spans="1:6" ht="15" thickBot="1" x14ac:dyDescent="0.35">
      <c r="A70" s="262" t="s">
        <v>790</v>
      </c>
      <c r="B70" s="125" t="s">
        <v>858</v>
      </c>
      <c r="C70" s="258"/>
      <c r="D70" s="259"/>
      <c r="E70" s="260"/>
      <c r="F70" s="240" t="e">
        <f t="shared" si="3"/>
        <v>#DIV/0!</v>
      </c>
    </row>
    <row r="71" spans="1:6" ht="58.2" thickBot="1" x14ac:dyDescent="0.35">
      <c r="A71" s="263" t="s">
        <v>791</v>
      </c>
      <c r="B71" s="264" t="s">
        <v>859</v>
      </c>
      <c r="C71" s="258"/>
      <c r="D71" s="259"/>
      <c r="E71" s="260"/>
      <c r="F71" s="240" t="e">
        <f t="shared" si="3"/>
        <v>#DIV/0!</v>
      </c>
    </row>
    <row r="72" spans="1:6" ht="15" thickBot="1" x14ac:dyDescent="0.35">
      <c r="A72" s="771" t="s">
        <v>860</v>
      </c>
      <c r="B72" s="772"/>
      <c r="C72" s="251">
        <f>SUM(C68:C71)</f>
        <v>941036.56</v>
      </c>
      <c r="D72" s="251">
        <f>SUM(D68:D71)</f>
        <v>0</v>
      </c>
      <c r="E72" s="251">
        <f>+D72-C72</f>
        <v>-941036.56</v>
      </c>
      <c r="F72" s="252">
        <f>((D72-C72)/C72)*100%</f>
        <v>-1</v>
      </c>
    </row>
    <row r="76" spans="1:6" x14ac:dyDescent="0.3">
      <c r="E76" s="265"/>
    </row>
    <row r="77" spans="1:6" x14ac:dyDescent="0.3">
      <c r="E77" s="266"/>
    </row>
    <row r="78" spans="1:6" x14ac:dyDescent="0.3">
      <c r="E78" s="267"/>
    </row>
  </sheetData>
  <mergeCells count="9">
    <mergeCell ref="A54:B54"/>
    <mergeCell ref="A63:B63"/>
    <mergeCell ref="A72:B72"/>
    <mergeCell ref="A13:B13"/>
    <mergeCell ref="A17:H17"/>
    <mergeCell ref="A18:H18"/>
    <mergeCell ref="A26:B26"/>
    <mergeCell ref="A38:B38"/>
    <mergeCell ref="A45:B4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71" zoomScaleNormal="71" workbookViewId="0">
      <selection activeCell="E15" sqref="E15"/>
    </sheetView>
  </sheetViews>
  <sheetFormatPr baseColWidth="10" defaultColWidth="11.5546875" defaultRowHeight="14.4" x14ac:dyDescent="0.3"/>
  <cols>
    <col min="1" max="1" width="6.6640625" style="534" customWidth="1"/>
    <col min="2" max="2" width="57" style="535" customWidth="1"/>
    <col min="3" max="3" width="12.33203125" style="536" customWidth="1"/>
    <col min="4" max="4" width="12.88671875" style="537" customWidth="1"/>
    <col min="5" max="5" width="53" style="538" customWidth="1"/>
    <col min="6" max="6" width="32.33203125" style="539" customWidth="1"/>
    <col min="7" max="7" width="18.6640625" style="540" customWidth="1"/>
    <col min="8" max="8" width="17.44140625" style="539" customWidth="1"/>
  </cols>
  <sheetData>
    <row r="1" spans="1:8" s="533" customFormat="1" ht="19.2" customHeight="1" x14ac:dyDescent="0.3">
      <c r="A1" s="587" t="s">
        <v>1000</v>
      </c>
      <c r="B1" s="588"/>
      <c r="C1" s="588"/>
      <c r="D1" s="588"/>
      <c r="E1" s="588"/>
      <c r="F1" s="588"/>
      <c r="G1" s="589"/>
      <c r="H1" s="541"/>
    </row>
    <row r="2" spans="1:8" s="533" customFormat="1" ht="21.6" thickBot="1" x14ac:dyDescent="0.35">
      <c r="A2" s="590"/>
      <c r="B2" s="591"/>
      <c r="C2" s="591"/>
      <c r="D2" s="591"/>
      <c r="E2" s="591"/>
      <c r="F2" s="591"/>
      <c r="G2" s="592"/>
      <c r="H2" s="541"/>
    </row>
    <row r="4" spans="1:8" s="241" customFormat="1" ht="31.95" customHeight="1" x14ac:dyDescent="0.3">
      <c r="A4" s="542" t="s">
        <v>1001</v>
      </c>
      <c r="B4" s="542" t="s">
        <v>1002</v>
      </c>
      <c r="C4" s="542" t="s">
        <v>1003</v>
      </c>
      <c r="D4" s="543" t="s">
        <v>1004</v>
      </c>
      <c r="E4" s="543" t="s">
        <v>1005</v>
      </c>
      <c r="F4" s="543" t="s">
        <v>442</v>
      </c>
      <c r="G4" s="543" t="s">
        <v>1006</v>
      </c>
      <c r="H4" s="543" t="s">
        <v>1041</v>
      </c>
    </row>
    <row r="5" spans="1:8" s="241" customFormat="1" ht="56.4" customHeight="1" x14ac:dyDescent="0.3">
      <c r="A5" s="545">
        <v>1</v>
      </c>
      <c r="B5" s="551" t="s">
        <v>297</v>
      </c>
      <c r="C5" s="546" t="s">
        <v>1007</v>
      </c>
      <c r="D5" s="547">
        <v>108779.6</v>
      </c>
      <c r="E5" s="548" t="s">
        <v>1008</v>
      </c>
      <c r="F5" s="544" t="s">
        <v>1009</v>
      </c>
      <c r="G5" s="544" t="s">
        <v>1010</v>
      </c>
      <c r="H5" s="544"/>
    </row>
    <row r="6" spans="1:8" s="241" customFormat="1" ht="68.400000000000006" customHeight="1" x14ac:dyDescent="0.3">
      <c r="A6" s="545">
        <v>2</v>
      </c>
      <c r="B6" s="551" t="s">
        <v>1011</v>
      </c>
      <c r="C6" s="546" t="s">
        <v>1007</v>
      </c>
      <c r="D6" s="547">
        <v>235290.91</v>
      </c>
      <c r="E6" s="548" t="s">
        <v>1012</v>
      </c>
      <c r="F6" s="544" t="s">
        <v>1013</v>
      </c>
      <c r="G6" s="544" t="s">
        <v>1010</v>
      </c>
      <c r="H6" s="544"/>
    </row>
    <row r="7" spans="1:8" s="241" customFormat="1" ht="43.2" x14ac:dyDescent="0.3">
      <c r="A7" s="545">
        <v>3</v>
      </c>
      <c r="B7" s="551" t="s">
        <v>990</v>
      </c>
      <c r="C7" s="546" t="s">
        <v>1014</v>
      </c>
      <c r="D7" s="549">
        <v>9500</v>
      </c>
      <c r="E7" s="548" t="s">
        <v>1015</v>
      </c>
      <c r="F7" s="544" t="s">
        <v>1016</v>
      </c>
      <c r="G7" s="544" t="s">
        <v>1017</v>
      </c>
      <c r="H7" s="544"/>
    </row>
    <row r="8" spans="1:8" s="241" customFormat="1" ht="43.2" x14ac:dyDescent="0.3">
      <c r="A8" s="545">
        <v>4</v>
      </c>
      <c r="B8" s="551" t="s">
        <v>180</v>
      </c>
      <c r="C8" s="546" t="s">
        <v>1014</v>
      </c>
      <c r="D8" s="549">
        <v>3891.38</v>
      </c>
      <c r="E8" s="548" t="s">
        <v>1018</v>
      </c>
      <c r="F8" s="544" t="s">
        <v>1016</v>
      </c>
      <c r="G8" s="544" t="s">
        <v>1017</v>
      </c>
      <c r="H8" s="544"/>
    </row>
    <row r="9" spans="1:8" s="241" customFormat="1" ht="55.2" customHeight="1" x14ac:dyDescent="0.3">
      <c r="A9" s="545">
        <v>5</v>
      </c>
      <c r="B9" s="551" t="s">
        <v>220</v>
      </c>
      <c r="C9" s="546" t="s">
        <v>1019</v>
      </c>
      <c r="D9" s="549">
        <v>5238</v>
      </c>
      <c r="E9" s="548" t="s">
        <v>1023</v>
      </c>
      <c r="F9" s="544" t="s">
        <v>1021</v>
      </c>
      <c r="G9" s="544" t="s">
        <v>1022</v>
      </c>
      <c r="H9" s="544"/>
    </row>
    <row r="10" spans="1:8" s="241" customFormat="1" ht="58.2" customHeight="1" x14ac:dyDescent="0.3">
      <c r="A10" s="545">
        <v>6</v>
      </c>
      <c r="B10" s="551" t="s">
        <v>124</v>
      </c>
      <c r="C10" s="546" t="s">
        <v>1019</v>
      </c>
      <c r="D10" s="556">
        <v>10000</v>
      </c>
      <c r="E10" s="557" t="s">
        <v>1026</v>
      </c>
      <c r="F10" s="544" t="s">
        <v>1039</v>
      </c>
      <c r="G10" s="544" t="s">
        <v>1027</v>
      </c>
      <c r="H10" s="544"/>
    </row>
    <row r="11" spans="1:8" s="241" customFormat="1" ht="55.95" customHeight="1" x14ac:dyDescent="0.3">
      <c r="A11" s="545">
        <v>7</v>
      </c>
      <c r="B11" s="564" t="s">
        <v>1028</v>
      </c>
      <c r="C11" s="546" t="s">
        <v>1029</v>
      </c>
      <c r="D11" s="549">
        <v>11595.06</v>
      </c>
      <c r="E11" s="558"/>
      <c r="F11" s="544" t="s">
        <v>1030</v>
      </c>
      <c r="G11" s="544" t="s">
        <v>1031</v>
      </c>
      <c r="H11" s="544"/>
    </row>
    <row r="12" spans="1:8" s="241" customFormat="1" ht="27.6" x14ac:dyDescent="0.3">
      <c r="A12" s="545">
        <v>8</v>
      </c>
      <c r="B12" s="563" t="s">
        <v>564</v>
      </c>
      <c r="C12" s="546" t="s">
        <v>1029</v>
      </c>
      <c r="D12" s="549">
        <v>1530</v>
      </c>
      <c r="E12" s="558"/>
      <c r="F12" s="544" t="s">
        <v>1030</v>
      </c>
      <c r="G12" s="544" t="s">
        <v>1032</v>
      </c>
      <c r="H12" s="544"/>
    </row>
    <row r="13" spans="1:8" s="241" customFormat="1" ht="27.6" x14ac:dyDescent="0.3">
      <c r="A13" s="545">
        <v>9</v>
      </c>
      <c r="B13" s="563" t="s">
        <v>566</v>
      </c>
      <c r="C13" s="546" t="s">
        <v>1029</v>
      </c>
      <c r="D13" s="549">
        <v>1800</v>
      </c>
      <c r="E13" s="558"/>
      <c r="F13" s="544" t="s">
        <v>1030</v>
      </c>
      <c r="G13" s="544" t="s">
        <v>1032</v>
      </c>
      <c r="H13" s="544"/>
    </row>
    <row r="14" spans="1:8" s="241" customFormat="1" ht="34.200000000000003" customHeight="1" x14ac:dyDescent="0.3">
      <c r="A14" s="545">
        <v>10</v>
      </c>
      <c r="B14" s="559" t="s">
        <v>1033</v>
      </c>
      <c r="C14" s="546" t="s">
        <v>1019</v>
      </c>
      <c r="D14" s="549"/>
      <c r="E14" s="558"/>
      <c r="F14" s="544" t="s">
        <v>1030</v>
      </c>
      <c r="G14" s="544" t="s">
        <v>1022</v>
      </c>
      <c r="H14" s="544"/>
    </row>
    <row r="15" spans="1:8" s="241" customFormat="1" ht="27.6" x14ac:dyDescent="0.3">
      <c r="A15" s="545">
        <v>11</v>
      </c>
      <c r="B15" s="559" t="s">
        <v>1034</v>
      </c>
      <c r="C15" s="546" t="s">
        <v>1019</v>
      </c>
      <c r="D15" s="556"/>
      <c r="E15" s="558"/>
      <c r="F15" s="544" t="s">
        <v>1030</v>
      </c>
      <c r="G15" s="544" t="s">
        <v>1022</v>
      </c>
      <c r="H15" s="544"/>
    </row>
    <row r="16" spans="1:8" s="241" customFormat="1" ht="27.6" x14ac:dyDescent="0.3">
      <c r="A16" s="545">
        <v>12</v>
      </c>
      <c r="B16" s="559" t="s">
        <v>1035</v>
      </c>
      <c r="C16" s="546" t="s">
        <v>1019</v>
      </c>
      <c r="D16" s="556"/>
      <c r="E16" s="558"/>
      <c r="F16" s="544" t="s">
        <v>1030</v>
      </c>
      <c r="G16" s="544" t="s">
        <v>1022</v>
      </c>
      <c r="H16" s="544"/>
    </row>
    <row r="17" spans="1:8" ht="27.6" x14ac:dyDescent="0.3">
      <c r="A17" s="545">
        <v>13</v>
      </c>
      <c r="B17" s="559" t="s">
        <v>281</v>
      </c>
      <c r="C17" s="546" t="s">
        <v>1019</v>
      </c>
      <c r="D17" s="549">
        <v>2500</v>
      </c>
      <c r="E17" s="558"/>
      <c r="F17" s="544" t="s">
        <v>1030</v>
      </c>
      <c r="G17" s="544" t="s">
        <v>1025</v>
      </c>
      <c r="H17" s="560"/>
    </row>
    <row r="18" spans="1:8" s="241" customFormat="1" ht="46.2" customHeight="1" x14ac:dyDescent="0.3">
      <c r="A18" s="545">
        <v>14</v>
      </c>
      <c r="B18" s="564" t="s">
        <v>245</v>
      </c>
      <c r="C18" s="546" t="s">
        <v>1019</v>
      </c>
      <c r="D18" s="549">
        <v>1185</v>
      </c>
      <c r="E18" s="558"/>
      <c r="F18" s="544" t="s">
        <v>1030</v>
      </c>
      <c r="G18" s="544" t="s">
        <v>1017</v>
      </c>
      <c r="H18" s="544"/>
    </row>
    <row r="19" spans="1:8" s="241" customFormat="1" ht="27.6" x14ac:dyDescent="0.3">
      <c r="A19" s="545">
        <v>15</v>
      </c>
      <c r="B19" s="559" t="s">
        <v>1036</v>
      </c>
      <c r="C19" s="546" t="s">
        <v>1029</v>
      </c>
      <c r="D19" s="549"/>
      <c r="E19" s="558"/>
      <c r="F19" s="544" t="s">
        <v>1030</v>
      </c>
      <c r="G19" s="544" t="s">
        <v>1022</v>
      </c>
      <c r="H19" s="544"/>
    </row>
    <row r="20" spans="1:8" s="241" customFormat="1" ht="27.6" x14ac:dyDescent="0.3">
      <c r="A20" s="545">
        <v>16</v>
      </c>
      <c r="B20" s="559" t="s">
        <v>1037</v>
      </c>
      <c r="C20" s="546" t="s">
        <v>1019</v>
      </c>
      <c r="D20" s="549"/>
      <c r="E20" s="558"/>
      <c r="F20" s="544" t="s">
        <v>1030</v>
      </c>
      <c r="G20" s="544" t="s">
        <v>1022</v>
      </c>
      <c r="H20" s="544"/>
    </row>
    <row r="21" spans="1:8" ht="27.6" x14ac:dyDescent="0.3">
      <c r="A21" s="545">
        <v>17</v>
      </c>
      <c r="B21" s="559" t="s">
        <v>1038</v>
      </c>
      <c r="C21" s="546" t="s">
        <v>1007</v>
      </c>
      <c r="D21" s="549">
        <v>35000</v>
      </c>
      <c r="E21" s="558"/>
      <c r="F21" s="544" t="s">
        <v>1030</v>
      </c>
      <c r="G21" s="544" t="s">
        <v>1022</v>
      </c>
      <c r="H21" s="560"/>
    </row>
    <row r="22" spans="1:8" ht="37.200000000000003" customHeight="1" x14ac:dyDescent="0.3">
      <c r="A22" s="550"/>
      <c r="B22" s="551" t="s">
        <v>206</v>
      </c>
      <c r="C22" s="552" t="s">
        <v>1019</v>
      </c>
      <c r="D22" s="553">
        <v>4940</v>
      </c>
      <c r="E22" s="554" t="s">
        <v>1020</v>
      </c>
      <c r="F22" s="555" t="s">
        <v>1021</v>
      </c>
      <c r="G22" s="555" t="s">
        <v>1022</v>
      </c>
      <c r="H22" s="555" t="s">
        <v>1040</v>
      </c>
    </row>
    <row r="23" spans="1:8" s="241" customFormat="1" ht="73.2" customHeight="1" x14ac:dyDescent="0.3">
      <c r="A23" s="545"/>
      <c r="B23" s="551" t="s">
        <v>286</v>
      </c>
      <c r="C23" s="552" t="s">
        <v>1019</v>
      </c>
      <c r="D23" s="553">
        <v>843</v>
      </c>
      <c r="E23" s="554"/>
      <c r="F23" s="555" t="s">
        <v>1024</v>
      </c>
      <c r="G23" s="555" t="s">
        <v>1025</v>
      </c>
      <c r="H23" s="555" t="s">
        <v>1040</v>
      </c>
    </row>
    <row r="24" spans="1:8" s="241" customFormat="1" ht="32.4" customHeight="1" x14ac:dyDescent="0.3">
      <c r="A24" s="545"/>
      <c r="B24" s="551" t="s">
        <v>552</v>
      </c>
      <c r="C24" s="552" t="s">
        <v>1019</v>
      </c>
      <c r="D24" s="553">
        <v>6784</v>
      </c>
      <c r="E24" s="561"/>
      <c r="F24" s="555" t="s">
        <v>1030</v>
      </c>
      <c r="G24" s="555" t="s">
        <v>1025</v>
      </c>
      <c r="H24" s="555" t="s">
        <v>1042</v>
      </c>
    </row>
  </sheetData>
  <mergeCells count="1">
    <mergeCell ref="A1:G2"/>
  </mergeCells>
  <hyperlinks>
    <hyperlink ref="E5" r:id="rId1"/>
    <hyperlink ref="E6" r:id="rId2"/>
    <hyperlink ref="E7" r:id="rId3"/>
    <hyperlink ref="E8" r:id="rId4"/>
    <hyperlink ref="E22" r:id="rId5"/>
    <hyperlink ref="E9" r:id="rId6"/>
    <hyperlink ref="E10" r:id="rId7"/>
  </hyperlinks>
  <pageMargins left="0.25" right="0.25" top="0.75" bottom="0.75" header="0.3" footer="0.3"/>
  <pageSetup paperSize="9" scale="47" fitToHeight="0"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RESU</vt:lpstr>
      <vt:lpstr>POA2025</vt:lpstr>
      <vt:lpstr>PRES-INGRESOS</vt:lpstr>
      <vt:lpstr>PRES-GASTO</vt:lpstr>
      <vt:lpstr>PUNTOEQUI</vt:lpstr>
      <vt:lpstr>INGRESOS MENSUALES</vt:lpstr>
      <vt:lpstr>NIVELES</vt:lpstr>
      <vt:lpstr>proceso2025</vt:lpstr>
      <vt:lpstr>'POA2025'!Área_de_impresión</vt:lpstr>
      <vt:lpstr>'POA2025'!Títulos_a_imprimir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2025-09-08T13:52:45Z</cp:lastPrinted>
  <dcterms:created xsi:type="dcterms:W3CDTF">2024-12-09T12:31:35Z</dcterms:created>
  <dcterms:modified xsi:type="dcterms:W3CDTF">2026-01-19T17:41:36Z</dcterms:modified>
</cp:coreProperties>
</file>